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890" windowHeight="8085" tabRatio="653"/>
  </bookViews>
  <sheets>
    <sheet name="APRESENTAÇÃO" sheetId="10" r:id="rId1"/>
    <sheet name="INSUMOS - QUANTIDADES" sheetId="6" r:id="rId2"/>
    <sheet name="INSUMOS - PREÇOS" sheetId="2" r:id="rId3"/>
    <sheet name="CUSTOS ANUAIS" sheetId="7" r:id="rId4"/>
    <sheet name="RESUMO CUSTOS" sheetId="8" r:id="rId5"/>
    <sheet name="LUCRATIVIDADE" sheetId="9" r:id="rId6"/>
  </sheets>
  <definedNames>
    <definedName name="_xlnm.Print_Area" localSheetId="0">APRESENTAÇÃO!$B$1:$B$24</definedName>
    <definedName name="_xlnm.Print_Area" localSheetId="3">'CUSTOS ANUAIS'!$A$1:$N$257</definedName>
    <definedName name="_xlnm.Print_Area" localSheetId="2">'INSUMOS - PREÇOS'!$A$1:$H$120</definedName>
    <definedName name="_xlnm.Print_Area" localSheetId="4">'RESUMO CUSTOS'!$B$1:$L$32</definedName>
    <definedName name="Print_Area" localSheetId="0">APRESENTAÇÃO!$B$1:$B$14</definedName>
    <definedName name="Print_Area" localSheetId="3">'CUSTOS ANUAIS'!$B$1:$K$250,'CUSTOS ANUAIS'!$L$7:$N$120</definedName>
    <definedName name="Print_Area" localSheetId="2">'INSUMOS - PREÇOS'!$A$1:$H$120</definedName>
    <definedName name="Print_Area" localSheetId="1">'INSUMOS - QUANTIDADES'!$B$1:$J$277</definedName>
    <definedName name="Print_Area" localSheetId="5">LUCRATIVIDADE!$A$1:$F$60</definedName>
    <definedName name="Print_Area" localSheetId="4">'RESUMO CUSTOS'!$A$1:$L$21</definedName>
  </definedNames>
  <calcPr calcId="125725"/>
</workbook>
</file>

<file path=xl/calcChain.xml><?xml version="1.0" encoding="utf-8"?>
<calcChain xmlns="http://schemas.openxmlformats.org/spreadsheetml/2006/main">
  <c r="K255" i="7"/>
  <c r="K257"/>
  <c r="K256"/>
  <c r="K254"/>
  <c r="K253"/>
  <c r="K246"/>
  <c r="K252"/>
  <c r="K250"/>
  <c r="E43" i="9"/>
  <c r="B43"/>
  <c r="I257" i="7"/>
  <c r="D102" i="2"/>
  <c r="C102"/>
  <c r="H290" i="6"/>
  <c r="G290"/>
  <c r="E40" i="9"/>
  <c r="E41"/>
  <c r="E42"/>
  <c r="E39"/>
  <c r="E24"/>
  <c r="E25"/>
  <c r="E26"/>
  <c r="E27"/>
  <c r="E28"/>
  <c r="E29"/>
  <c r="E30"/>
  <c r="E31"/>
  <c r="E32"/>
  <c r="E33"/>
  <c r="E34"/>
  <c r="E35"/>
  <c r="E36"/>
  <c r="E37"/>
  <c r="E23"/>
  <c r="B39"/>
  <c r="K229" i="7"/>
  <c r="K137"/>
  <c r="K138"/>
  <c r="K136"/>
  <c r="E137"/>
  <c r="E138"/>
  <c r="E136"/>
  <c r="C99" i="2"/>
  <c r="C100"/>
  <c r="C101"/>
  <c r="C98"/>
  <c r="G130" i="7"/>
  <c r="G129"/>
  <c r="G128"/>
  <c r="G127"/>
  <c r="F173" i="6"/>
  <c r="G173" s="1"/>
  <c r="I91" i="7" s="1"/>
  <c r="K91" s="1"/>
  <c r="F168" i="6"/>
  <c r="G168" s="1"/>
  <c r="I85" i="7" s="1"/>
  <c r="K85" s="1"/>
  <c r="F163" i="6"/>
  <c r="G163" s="1"/>
  <c r="I84" i="7" s="1"/>
  <c r="K84" s="1"/>
  <c r="F158" i="6"/>
  <c r="G158" s="1"/>
  <c r="I83" i="7" s="1"/>
  <c r="K83" s="1"/>
  <c r="F153" i="6"/>
  <c r="G153" s="1"/>
  <c r="I90" i="7" s="1"/>
  <c r="K90" s="1"/>
  <c r="F148" i="6"/>
  <c r="G148" s="1"/>
  <c r="I89" i="7" s="1"/>
  <c r="K89" s="1"/>
  <c r="F143" i="6"/>
  <c r="G143" s="1"/>
  <c r="I88" i="7" s="1"/>
  <c r="K88" s="1"/>
  <c r="F138" i="6"/>
  <c r="G138" s="1"/>
  <c r="I87" i="7" s="1"/>
  <c r="K87" s="1"/>
  <c r="F133" i="6"/>
  <c r="G133" s="1"/>
  <c r="I86" i="7" s="1"/>
  <c r="K86" s="1"/>
  <c r="H32"/>
  <c r="H33"/>
  <c r="H36"/>
  <c r="H37"/>
  <c r="H30"/>
  <c r="G41" i="6"/>
  <c r="I33" i="7" s="1"/>
  <c r="K33" s="1"/>
  <c r="G48" i="6"/>
  <c r="I40" i="7" s="1"/>
  <c r="K40" s="1"/>
  <c r="G47" i="6"/>
  <c r="I39" i="7" s="1"/>
  <c r="K39" s="1"/>
  <c r="G46" i="6"/>
  <c r="I38" i="7" s="1"/>
  <c r="K38" s="1"/>
  <c r="G45" i="6"/>
  <c r="I37" i="7" s="1"/>
  <c r="K37" s="1"/>
  <c r="G44" i="6"/>
  <c r="I36" i="7" s="1"/>
  <c r="K36" s="1"/>
  <c r="G43" i="6"/>
  <c r="I35" i="7" s="1"/>
  <c r="K35" s="1"/>
  <c r="G42" i="6"/>
  <c r="I34" i="7" s="1"/>
  <c r="K34" s="1"/>
  <c r="G40" i="6"/>
  <c r="I32" i="7" s="1"/>
  <c r="K32" s="1"/>
  <c r="G39" i="6"/>
  <c r="I31" i="7" s="1"/>
  <c r="K31" s="1"/>
  <c r="G38" i="6"/>
  <c r="I30" i="7" s="1"/>
  <c r="G37" i="6"/>
  <c r="I28" i="7" s="1"/>
  <c r="K28" s="1"/>
  <c r="C47" i="6"/>
  <c r="H39" i="7" s="1"/>
  <c r="C46" i="6"/>
  <c r="H38" i="7" s="1"/>
  <c r="C45" i="6"/>
  <c r="C44"/>
  <c r="C43"/>
  <c r="H35" i="7" s="1"/>
  <c r="C42" i="6"/>
  <c r="H34" i="7" s="1"/>
  <c r="C41" i="6"/>
  <c r="C40"/>
  <c r="C39"/>
  <c r="H31" i="7" s="1"/>
  <c r="C38" i="6"/>
  <c r="C37"/>
  <c r="I254" i="7"/>
  <c r="I255"/>
  <c r="I256"/>
  <c r="I253"/>
  <c r="B40" i="9"/>
  <c r="B41"/>
  <c r="B42"/>
  <c r="J238" i="6"/>
  <c r="L190"/>
  <c r="L189"/>
  <c r="L284"/>
  <c r="K228" i="7"/>
  <c r="E228"/>
  <c r="I170"/>
  <c r="I171"/>
  <c r="J239" i="6"/>
  <c r="J237"/>
  <c r="B239"/>
  <c r="B238"/>
  <c r="B237"/>
  <c r="I207" i="7"/>
  <c r="K207" s="1"/>
  <c r="I206"/>
  <c r="K206" s="1"/>
  <c r="C14" i="2"/>
  <c r="F206" i="7" s="1"/>
  <c r="C15" i="2"/>
  <c r="F207" i="7" s="1"/>
  <c r="C13" i="2"/>
  <c r="F205" i="7" s="1"/>
  <c r="D95" i="2"/>
  <c r="D96"/>
  <c r="D98"/>
  <c r="D99"/>
  <c r="D100"/>
  <c r="D101"/>
  <c r="D94"/>
  <c r="C95"/>
  <c r="F124" i="7" s="1"/>
  <c r="C96" i="2"/>
  <c r="F125" i="7" s="1"/>
  <c r="C94" i="2"/>
  <c r="F123" i="7" s="1"/>
  <c r="G283" i="6"/>
  <c r="H283" s="1"/>
  <c r="I123" i="7" s="1"/>
  <c r="K123" s="1"/>
  <c r="G286" i="6"/>
  <c r="H286" s="1"/>
  <c r="I127" i="7" s="1"/>
  <c r="K127" s="1"/>
  <c r="G287" i="6"/>
  <c r="H287" s="1"/>
  <c r="I128" i="7" s="1"/>
  <c r="K128" s="1"/>
  <c r="G288" i="6"/>
  <c r="H288" s="1"/>
  <c r="I129" i="7" s="1"/>
  <c r="K129" s="1"/>
  <c r="G289" i="6"/>
  <c r="H289" s="1"/>
  <c r="I130" i="7" s="1"/>
  <c r="K130" s="1"/>
  <c r="G285" i="6"/>
  <c r="H285" s="1"/>
  <c r="I125" i="7" s="1"/>
  <c r="K125" s="1"/>
  <c r="G284" i="6"/>
  <c r="H284" s="1"/>
  <c r="I124" i="7" s="1"/>
  <c r="K124" s="1"/>
  <c r="F190" i="6"/>
  <c r="F188"/>
  <c r="F189"/>
  <c r="I214" i="7"/>
  <c r="I213"/>
  <c r="I220"/>
  <c r="I221"/>
  <c r="I222"/>
  <c r="I215"/>
  <c r="I212"/>
  <c r="G222"/>
  <c r="G221"/>
  <c r="G220"/>
  <c r="G219"/>
  <c r="G215"/>
  <c r="G214"/>
  <c r="G213"/>
  <c r="G212"/>
  <c r="C59" i="2"/>
  <c r="C58"/>
  <c r="C57"/>
  <c r="C56"/>
  <c r="C55"/>
  <c r="C54"/>
  <c r="C53"/>
  <c r="C52"/>
  <c r="K227" i="7"/>
  <c r="K226"/>
  <c r="E227"/>
  <c r="E226"/>
  <c r="I162"/>
  <c r="K162" s="1"/>
  <c r="E20" i="9"/>
  <c r="E47"/>
  <c r="E46"/>
  <c r="E48"/>
  <c r="E45"/>
  <c r="C77" i="2"/>
  <c r="G96" i="7" s="1"/>
  <c r="F169" i="6"/>
  <c r="G169" s="1"/>
  <c r="I95" i="7" s="1"/>
  <c r="K95" s="1"/>
  <c r="C85" i="2"/>
  <c r="G112" i="7" s="1"/>
  <c r="C84" i="2"/>
  <c r="G106" i="7" s="1"/>
  <c r="C83" i="2"/>
  <c r="G105" i="7" s="1"/>
  <c r="C82" i="2"/>
  <c r="G93" i="7" s="1"/>
  <c r="C81" i="2"/>
  <c r="G100" i="7" s="1"/>
  <c r="C80" i="2"/>
  <c r="G79" i="7" s="1"/>
  <c r="C79" i="2"/>
  <c r="G98" i="7" s="1"/>
  <c r="C78" i="2"/>
  <c r="G108" i="7" s="1"/>
  <c r="F170" i="6"/>
  <c r="G170" s="1"/>
  <c r="I106" i="7" s="1"/>
  <c r="K106" s="1"/>
  <c r="F167" i="6"/>
  <c r="G167" s="1"/>
  <c r="I75" i="7" s="1"/>
  <c r="F164" i="6"/>
  <c r="G164" s="1"/>
  <c r="I94" i="7" s="1"/>
  <c r="K94" s="1"/>
  <c r="F165" i="6"/>
  <c r="G165" s="1"/>
  <c r="I105" i="7" s="1"/>
  <c r="K105" s="1"/>
  <c r="F162" i="6"/>
  <c r="G162" s="1"/>
  <c r="I74" i="7" s="1"/>
  <c r="F155" i="6"/>
  <c r="G155" s="1"/>
  <c r="I110" i="7" s="1"/>
  <c r="F154" i="6"/>
  <c r="G154" s="1"/>
  <c r="I100" i="7" s="1"/>
  <c r="K100" s="1"/>
  <c r="F152" i="6"/>
  <c r="G152" s="1"/>
  <c r="I80" i="7" s="1"/>
  <c r="F150" i="6"/>
  <c r="G150" s="1"/>
  <c r="F149"/>
  <c r="G149" s="1"/>
  <c r="I99" i="7" s="1"/>
  <c r="K99" s="1"/>
  <c r="F147" i="6"/>
  <c r="G147" s="1"/>
  <c r="I79" i="7" s="1"/>
  <c r="F145" i="6"/>
  <c r="G145" s="1"/>
  <c r="I109" i="7" s="1"/>
  <c r="F144" i="6"/>
  <c r="G144" s="1"/>
  <c r="I98" i="7" s="1"/>
  <c r="K98" s="1"/>
  <c r="F142" i="6"/>
  <c r="G142" s="1"/>
  <c r="I78" i="7" s="1"/>
  <c r="F132" i="6"/>
  <c r="H63" i="7"/>
  <c r="H64"/>
  <c r="H65"/>
  <c r="H66"/>
  <c r="H67"/>
  <c r="H49"/>
  <c r="H50"/>
  <c r="H51"/>
  <c r="H52"/>
  <c r="H53"/>
  <c r="H20"/>
  <c r="H21"/>
  <c r="H22"/>
  <c r="H23"/>
  <c r="H24"/>
  <c r="C65" i="2"/>
  <c r="C66"/>
  <c r="C67"/>
  <c r="C68"/>
  <c r="C69"/>
  <c r="G111" i="6"/>
  <c r="G121"/>
  <c r="G120"/>
  <c r="G119"/>
  <c r="G118"/>
  <c r="G117"/>
  <c r="G109"/>
  <c r="G108"/>
  <c r="G107"/>
  <c r="G106"/>
  <c r="G105"/>
  <c r="G96"/>
  <c r="G95"/>
  <c r="G94"/>
  <c r="G93"/>
  <c r="G92"/>
  <c r="G84"/>
  <c r="G83"/>
  <c r="G82"/>
  <c r="G81"/>
  <c r="G80"/>
  <c r="G72"/>
  <c r="G71"/>
  <c r="G70"/>
  <c r="G69"/>
  <c r="G68"/>
  <c r="G60"/>
  <c r="G59"/>
  <c r="G58"/>
  <c r="G57"/>
  <c r="G56"/>
  <c r="G34"/>
  <c r="G33"/>
  <c r="G32"/>
  <c r="G31"/>
  <c r="G30"/>
  <c r="G21"/>
  <c r="G20"/>
  <c r="G19"/>
  <c r="G18"/>
  <c r="G17"/>
  <c r="G112"/>
  <c r="C121"/>
  <c r="C120"/>
  <c r="C119"/>
  <c r="C118"/>
  <c r="C117"/>
  <c r="C109"/>
  <c r="C108"/>
  <c r="C107"/>
  <c r="C106"/>
  <c r="C105"/>
  <c r="C96"/>
  <c r="C95"/>
  <c r="C94"/>
  <c r="C93"/>
  <c r="C92"/>
  <c r="C84"/>
  <c r="C83"/>
  <c r="C82"/>
  <c r="C81"/>
  <c r="C80"/>
  <c r="C72"/>
  <c r="C71"/>
  <c r="C70"/>
  <c r="C69"/>
  <c r="C68"/>
  <c r="C56"/>
  <c r="C60"/>
  <c r="C59"/>
  <c r="C58"/>
  <c r="C57"/>
  <c r="C34"/>
  <c r="C33"/>
  <c r="C32"/>
  <c r="C31"/>
  <c r="C30"/>
  <c r="C29"/>
  <c r="K131" i="7" l="1"/>
  <c r="K22" i="8" s="1"/>
  <c r="G85" i="7"/>
  <c r="G89"/>
  <c r="G84"/>
  <c r="G88"/>
  <c r="G91"/>
  <c r="G83"/>
  <c r="G87"/>
  <c r="G101"/>
  <c r="G86"/>
  <c r="G90"/>
  <c r="K170"/>
  <c r="F169"/>
  <c r="K171"/>
  <c r="F171"/>
  <c r="F170"/>
  <c r="G189" i="6"/>
  <c r="I118" i="7" s="1"/>
  <c r="K118" s="1"/>
  <c r="G78"/>
  <c r="G107"/>
  <c r="G109"/>
  <c r="G94"/>
  <c r="G76"/>
  <c r="G111"/>
  <c r="G81"/>
  <c r="G80"/>
  <c r="G99"/>
  <c r="G75"/>
  <c r="G104"/>
  <c r="G110"/>
  <c r="G77"/>
  <c r="G74"/>
  <c r="G95"/>
  <c r="G97"/>
  <c r="G73"/>
  <c r="I23"/>
  <c r="I64"/>
  <c r="K64" s="1"/>
  <c r="I65"/>
  <c r="K65" s="1"/>
  <c r="I20"/>
  <c r="I50"/>
  <c r="K50" s="1"/>
  <c r="I22"/>
  <c r="I21"/>
  <c r="I49"/>
  <c r="K49" s="1"/>
  <c r="I53"/>
  <c r="K53" s="1"/>
  <c r="I51"/>
  <c r="K51" s="1"/>
  <c r="I63"/>
  <c r="K63" s="1"/>
  <c r="I67"/>
  <c r="K67" s="1"/>
  <c r="I66"/>
  <c r="K66" s="1"/>
  <c r="I52"/>
  <c r="K52" s="1"/>
  <c r="I24"/>
  <c r="G11" i="6" l="1"/>
  <c r="L11"/>
  <c r="L15" s="1"/>
  <c r="G12"/>
  <c r="L12"/>
  <c r="G13"/>
  <c r="G14"/>
  <c r="G15"/>
  <c r="G16"/>
  <c r="G22"/>
  <c r="I25" i="7" s="1"/>
  <c r="C24" i="6"/>
  <c r="G24"/>
  <c r="C25"/>
  <c r="G25"/>
  <c r="C26"/>
  <c r="G26"/>
  <c r="C27"/>
  <c r="G27"/>
  <c r="C28"/>
  <c r="G28"/>
  <c r="G29"/>
  <c r="G35"/>
  <c r="I26" i="7" s="1"/>
  <c r="C50" i="6"/>
  <c r="G50"/>
  <c r="C51"/>
  <c r="G51"/>
  <c r="C52"/>
  <c r="G52"/>
  <c r="C53"/>
  <c r="G53"/>
  <c r="C54"/>
  <c r="G54"/>
  <c r="C55"/>
  <c r="G55"/>
  <c r="G61"/>
  <c r="C62"/>
  <c r="G62"/>
  <c r="C63"/>
  <c r="G63"/>
  <c r="C64"/>
  <c r="G64"/>
  <c r="C65"/>
  <c r="G65"/>
  <c r="C66"/>
  <c r="G66"/>
  <c r="C67"/>
  <c r="G67"/>
  <c r="C73"/>
  <c r="G73"/>
  <c r="C74"/>
  <c r="G74"/>
  <c r="C75"/>
  <c r="G75"/>
  <c r="C76"/>
  <c r="G76"/>
  <c r="C77"/>
  <c r="G77"/>
  <c r="C78"/>
  <c r="G78"/>
  <c r="C79"/>
  <c r="G79"/>
  <c r="C85"/>
  <c r="G85"/>
  <c r="C86"/>
  <c r="G86"/>
  <c r="C87"/>
  <c r="G87"/>
  <c r="C88"/>
  <c r="G88"/>
  <c r="C89"/>
  <c r="G89"/>
  <c r="C90"/>
  <c r="G90"/>
  <c r="C91"/>
  <c r="G91"/>
  <c r="C97"/>
  <c r="G97"/>
  <c r="C99"/>
  <c r="G99"/>
  <c r="I56" i="7" s="1"/>
  <c r="K56" s="1"/>
  <c r="C100" i="6"/>
  <c r="G100"/>
  <c r="I58" i="7" s="1"/>
  <c r="C101" i="6"/>
  <c r="G101"/>
  <c r="C102"/>
  <c r="G102"/>
  <c r="C103"/>
  <c r="G103"/>
  <c r="C104"/>
  <c r="G104"/>
  <c r="C110"/>
  <c r="G110"/>
  <c r="C111"/>
  <c r="C112"/>
  <c r="C113"/>
  <c r="G113"/>
  <c r="C114"/>
  <c r="G114"/>
  <c r="C115"/>
  <c r="G115"/>
  <c r="C116"/>
  <c r="G116"/>
  <c r="C122"/>
  <c r="G122"/>
  <c r="G132"/>
  <c r="F134"/>
  <c r="G134" s="1"/>
  <c r="I96" i="7" s="1"/>
  <c r="K96" s="1"/>
  <c r="F135" i="6"/>
  <c r="G135" s="1"/>
  <c r="I107" i="7" s="1"/>
  <c r="K107" s="1"/>
  <c r="F137" i="6"/>
  <c r="G137" s="1"/>
  <c r="I77" i="7" s="1"/>
  <c r="F139" i="6"/>
  <c r="G139" s="1"/>
  <c r="I97" i="7" s="1"/>
  <c r="K97" s="1"/>
  <c r="F140" i="6"/>
  <c r="G140" s="1"/>
  <c r="F157"/>
  <c r="F159"/>
  <c r="G159" s="1"/>
  <c r="I93" i="7" s="1"/>
  <c r="K93" s="1"/>
  <c r="F160" i="6"/>
  <c r="G160" s="1"/>
  <c r="I104" i="7" s="1"/>
  <c r="K104" s="1"/>
  <c r="F172" i="6"/>
  <c r="G172" s="1"/>
  <c r="I81" i="7" s="1"/>
  <c r="F174" i="6"/>
  <c r="G174" s="1"/>
  <c r="I101" i="7" s="1"/>
  <c r="K101" s="1"/>
  <c r="F175" i="6"/>
  <c r="G175" s="1"/>
  <c r="I112" i="7" s="1"/>
  <c r="K112" s="1"/>
  <c r="F181" i="6"/>
  <c r="G181" s="1"/>
  <c r="I113" i="7" s="1"/>
  <c r="K113" s="1"/>
  <c r="F182" i="6"/>
  <c r="G182" s="1"/>
  <c r="I102" i="7" s="1"/>
  <c r="K102" s="1"/>
  <c r="F223" i="6"/>
  <c r="I173" i="7" s="1"/>
  <c r="J223" i="6"/>
  <c r="F224"/>
  <c r="I174" i="7" s="1"/>
  <c r="J224" i="6"/>
  <c r="F225"/>
  <c r="I175" i="7" s="1"/>
  <c r="I193" s="1"/>
  <c r="K193" s="1"/>
  <c r="J225" i="6"/>
  <c r="F226"/>
  <c r="I176" i="7" s="1"/>
  <c r="J226" i="6"/>
  <c r="F227"/>
  <c r="I177" i="7" s="1"/>
  <c r="I195" s="1"/>
  <c r="K195" s="1"/>
  <c r="J227" i="6"/>
  <c r="F228"/>
  <c r="I178" i="7" s="1"/>
  <c r="J228" i="6"/>
  <c r="J230"/>
  <c r="K179" i="7" s="1"/>
  <c r="J231" i="6"/>
  <c r="K180" i="7" s="1"/>
  <c r="J232" i="6"/>
  <c r="K181" i="7" s="1"/>
  <c r="J233" i="6"/>
  <c r="K182" i="7" s="1"/>
  <c r="J234" i="6"/>
  <c r="K183" i="7" s="1"/>
  <c r="J235" i="6"/>
  <c r="K184" i="7" s="1"/>
  <c r="J241" i="6"/>
  <c r="J242"/>
  <c r="C18" i="2"/>
  <c r="C19"/>
  <c r="C20"/>
  <c r="C21"/>
  <c r="C22"/>
  <c r="C23"/>
  <c r="C24"/>
  <c r="C25"/>
  <c r="C26"/>
  <c r="C27"/>
  <c r="C28"/>
  <c r="C34"/>
  <c r="C35"/>
  <c r="C36"/>
  <c r="C37"/>
  <c r="C38"/>
  <c r="C40"/>
  <c r="C41"/>
  <c r="C42"/>
  <c r="C43"/>
  <c r="C44"/>
  <c r="C61"/>
  <c r="C62"/>
  <c r="C63"/>
  <c r="C64"/>
  <c r="C72"/>
  <c r="C73"/>
  <c r="C75"/>
  <c r="G13" i="7"/>
  <c r="N13"/>
  <c r="H15"/>
  <c r="H16"/>
  <c r="H17"/>
  <c r="H18"/>
  <c r="H19"/>
  <c r="H44"/>
  <c r="H45"/>
  <c r="H46"/>
  <c r="H47"/>
  <c r="H48"/>
  <c r="H58"/>
  <c r="H59"/>
  <c r="H60"/>
  <c r="H61"/>
  <c r="H62"/>
  <c r="K139"/>
  <c r="K140"/>
  <c r="F147"/>
  <c r="I147"/>
  <c r="K147" s="1"/>
  <c r="F148"/>
  <c r="I148"/>
  <c r="K148" s="1"/>
  <c r="F149"/>
  <c r="I149"/>
  <c r="K149" s="1"/>
  <c r="F150"/>
  <c r="I150"/>
  <c r="K150" s="1"/>
  <c r="F151"/>
  <c r="I151"/>
  <c r="K151" s="1"/>
  <c r="F153"/>
  <c r="I153"/>
  <c r="K153" s="1"/>
  <c r="F154"/>
  <c r="I154"/>
  <c r="K154" s="1"/>
  <c r="F155"/>
  <c r="I155"/>
  <c r="K155" s="1"/>
  <c r="F156"/>
  <c r="I156"/>
  <c r="K156" s="1"/>
  <c r="F157"/>
  <c r="I157"/>
  <c r="K157" s="1"/>
  <c r="I161"/>
  <c r="K161" s="1"/>
  <c r="I163"/>
  <c r="K163" s="1"/>
  <c r="I169"/>
  <c r="F173"/>
  <c r="F174"/>
  <c r="F175"/>
  <c r="F176"/>
  <c r="F177"/>
  <c r="F178"/>
  <c r="F179"/>
  <c r="F180"/>
  <c r="F181"/>
  <c r="F182"/>
  <c r="F183"/>
  <c r="F184"/>
  <c r="I185"/>
  <c r="I186"/>
  <c r="F191"/>
  <c r="F192"/>
  <c r="F193"/>
  <c r="F194"/>
  <c r="F195"/>
  <c r="F196"/>
  <c r="F197"/>
  <c r="I197"/>
  <c r="K197" s="1"/>
  <c r="F198"/>
  <c r="I198"/>
  <c r="K198" s="1"/>
  <c r="F199"/>
  <c r="I199"/>
  <c r="K199" s="1"/>
  <c r="F200"/>
  <c r="I200"/>
  <c r="K200" s="1"/>
  <c r="F201"/>
  <c r="I201"/>
  <c r="K201" s="1"/>
  <c r="F202"/>
  <c r="I202"/>
  <c r="K202" s="1"/>
  <c r="I205"/>
  <c r="K205" s="1"/>
  <c r="I209"/>
  <c r="I210"/>
  <c r="I211"/>
  <c r="I216"/>
  <c r="I217"/>
  <c r="I218"/>
  <c r="I219"/>
  <c r="K230"/>
  <c r="K231" s="1"/>
  <c r="K239"/>
  <c r="K240"/>
  <c r="K241"/>
  <c r="E10" i="9"/>
  <c r="E11"/>
  <c r="E13"/>
  <c r="E14"/>
  <c r="C15"/>
  <c r="D15"/>
  <c r="E17"/>
  <c r="H17"/>
  <c r="E18"/>
  <c r="E21"/>
  <c r="H43" l="1"/>
  <c r="K247" i="7"/>
  <c r="E49" i="9"/>
  <c r="K141" i="7"/>
  <c r="K164"/>
  <c r="G157" i="6"/>
  <c r="I73" i="7" s="1"/>
  <c r="K73" s="1"/>
  <c r="I15"/>
  <c r="I44"/>
  <c r="I13"/>
  <c r="K13" s="1"/>
  <c r="L191" i="6"/>
  <c r="L285"/>
  <c r="K238" i="7"/>
  <c r="K169"/>
  <c r="K23"/>
  <c r="H10" i="9"/>
  <c r="H11" s="1"/>
  <c r="H12" s="1"/>
  <c r="I19" i="7"/>
  <c r="K19" s="1"/>
  <c r="K21"/>
  <c r="H18" i="9"/>
  <c r="K22" i="7"/>
  <c r="K220"/>
  <c r="K221"/>
  <c r="K222"/>
  <c r="K217"/>
  <c r="K219"/>
  <c r="K213"/>
  <c r="K214"/>
  <c r="K215"/>
  <c r="K212"/>
  <c r="K28" i="8"/>
  <c r="K26" i="7"/>
  <c r="K25"/>
  <c r="K24"/>
  <c r="K77"/>
  <c r="E215" i="6"/>
  <c r="I204" i="7" s="1"/>
  <c r="K204" s="1"/>
  <c r="K78"/>
  <c r="K79"/>
  <c r="K80"/>
  <c r="K74"/>
  <c r="K75"/>
  <c r="K20"/>
  <c r="K109"/>
  <c r="I76"/>
  <c r="K76" s="1"/>
  <c r="I111"/>
  <c r="K111" s="1"/>
  <c r="I108"/>
  <c r="K174"/>
  <c r="I68"/>
  <c r="K68" s="1"/>
  <c r="I59"/>
  <c r="K59" s="1"/>
  <c r="I18"/>
  <c r="K18" s="1"/>
  <c r="I16"/>
  <c r="K16" s="1"/>
  <c r="I61"/>
  <c r="K61" s="1"/>
  <c r="K176"/>
  <c r="I62"/>
  <c r="K62" s="1"/>
  <c r="I60"/>
  <c r="K60" s="1"/>
  <c r="I48"/>
  <c r="K48" s="1"/>
  <c r="I46"/>
  <c r="K46" s="1"/>
  <c r="K173"/>
  <c r="I17"/>
  <c r="K17" s="1"/>
  <c r="K81"/>
  <c r="E15" i="9"/>
  <c r="K178" i="7"/>
  <c r="K185"/>
  <c r="K218"/>
  <c r="I47"/>
  <c r="K47" s="1"/>
  <c r="I45"/>
  <c r="K45" s="1"/>
  <c r="I196"/>
  <c r="K196" s="1"/>
  <c r="I42"/>
  <c r="K42" s="1"/>
  <c r="I54"/>
  <c r="K54" s="1"/>
  <c r="I243"/>
  <c r="K243" s="1"/>
  <c r="I192"/>
  <c r="K192" s="1"/>
  <c r="K186"/>
  <c r="K177"/>
  <c r="K175"/>
  <c r="I191"/>
  <c r="K191" s="1"/>
  <c r="I194"/>
  <c r="K194" s="1"/>
  <c r="K211"/>
  <c r="K158"/>
  <c r="K210"/>
  <c r="H46" i="9" l="1"/>
  <c r="H45"/>
  <c r="K15" i="7"/>
  <c r="K30"/>
  <c r="K223"/>
  <c r="K26" i="8" s="1"/>
  <c r="H14" i="9"/>
  <c r="H15" s="1"/>
  <c r="H16" s="1"/>
  <c r="G188" i="6"/>
  <c r="I117" i="7" s="1"/>
  <c r="K117" s="1"/>
  <c r="G190" i="6"/>
  <c r="I119" i="7" s="1"/>
  <c r="K119" s="1"/>
  <c r="I168"/>
  <c r="K237" s="1"/>
  <c r="J236" i="6"/>
  <c r="H41" i="9"/>
  <c r="H44"/>
  <c r="H42"/>
  <c r="K110" i="7"/>
  <c r="K108"/>
  <c r="K29" i="8"/>
  <c r="K44" i="7"/>
  <c r="K58"/>
  <c r="E50" i="9"/>
  <c r="K23" i="8"/>
  <c r="K114" i="7" l="1"/>
  <c r="K120"/>
  <c r="K30" i="8" s="1"/>
  <c r="K69" i="7"/>
  <c r="K21" i="8" s="1"/>
  <c r="K168" i="7"/>
  <c r="K133" l="1"/>
  <c r="K143" s="1"/>
  <c r="K187"/>
  <c r="K233" s="1"/>
  <c r="K13" i="8" s="1"/>
  <c r="K27"/>
  <c r="K25" l="1"/>
  <c r="K12"/>
  <c r="K242" i="7"/>
  <c r="K244" s="1"/>
  <c r="K24" i="8" s="1"/>
  <c r="K234" i="7" l="1"/>
  <c r="E55" i="9" s="1"/>
  <c r="E56"/>
  <c r="K14" i="8"/>
  <c r="E57" i="9" l="1"/>
  <c r="K31" i="8" l="1"/>
  <c r="K248" i="7"/>
  <c r="L14" i="8"/>
  <c r="K249" i="7"/>
  <c r="E58" i="9"/>
  <c r="E60" s="1"/>
  <c r="E61" s="1"/>
  <c r="L12" i="8"/>
  <c r="L13"/>
  <c r="L30" l="1"/>
  <c r="L29"/>
  <c r="L22"/>
  <c r="L21"/>
  <c r="L25"/>
  <c r="L27"/>
  <c r="L24"/>
  <c r="L28"/>
  <c r="L26"/>
  <c r="L23"/>
  <c r="L31" l="1"/>
</calcChain>
</file>

<file path=xl/comments1.xml><?xml version="1.0" encoding="utf-8"?>
<comments xmlns="http://schemas.openxmlformats.org/spreadsheetml/2006/main">
  <authors>
    <author>Camila</author>
    <author>Windows</author>
  </authors>
  <commentList>
    <comment ref="G9" authorId="0">
      <text>
        <r>
          <rPr>
            <b/>
            <sz val="9"/>
            <color indexed="81"/>
            <rFont val="Tahoma"/>
            <charset val="1"/>
          </rPr>
          <t>"Dias por ciclo" x Duração do ciclo de produção (encontrada nos coeficientes zootécnicos na aba "Custos anuais")</t>
        </r>
      </text>
    </comment>
    <comment ref="J9" authorId="0">
      <text>
        <r>
          <rPr>
            <b/>
            <sz val="9"/>
            <color indexed="81"/>
            <rFont val="Tahoma"/>
            <charset val="1"/>
          </rPr>
          <t>Recuperados da aba "Custos Anuais".</t>
        </r>
      </text>
    </comment>
    <comment ref="C13" authorId="1">
      <text>
        <r>
          <rPr>
            <b/>
            <sz val="9"/>
            <rFont val="Tahoma"/>
            <family val="2"/>
          </rPr>
          <t>Insira o nome dos alimentos utilizados na criação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Período entre o fim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6" authorId="0">
      <text>
        <r>
          <rPr>
            <sz val="9"/>
            <color indexed="81"/>
            <rFont val="Tahoma"/>
            <charset val="1"/>
          </rPr>
          <t>Inserir a vacina desejada.</t>
        </r>
      </text>
    </comment>
    <comment ref="B141" authorId="0">
      <text>
        <r>
          <rPr>
            <b/>
            <sz val="9"/>
            <color indexed="81"/>
            <rFont val="Tahoma"/>
            <charset val="1"/>
          </rPr>
          <t>Inserir a vacina desejada.</t>
        </r>
      </text>
    </comment>
    <comment ref="B146" authorId="0">
      <text>
        <r>
          <rPr>
            <sz val="9"/>
            <color indexed="81"/>
            <rFont val="Tahoma"/>
            <family val="2"/>
          </rPr>
          <t xml:space="preserve">Inserir a vacina desejada.
</t>
        </r>
      </text>
    </comment>
    <comment ref="B151" authorId="0">
      <text>
        <r>
          <rPr>
            <sz val="9"/>
            <color indexed="81"/>
            <rFont val="Tahoma"/>
            <family val="2"/>
          </rPr>
          <t>Inserir a vacina desejada.</t>
        </r>
      </text>
    </comment>
    <comment ref="B156" authorId="0">
      <text>
        <r>
          <rPr>
            <sz val="9"/>
            <color indexed="81"/>
            <rFont val="Tahoma"/>
            <charset val="1"/>
          </rPr>
          <t xml:space="preserve">Inserir nome do vermífugo desejado.
</t>
        </r>
      </text>
    </comment>
    <comment ref="B161" authorId="0">
      <text>
        <r>
          <rPr>
            <sz val="9"/>
            <color indexed="81"/>
            <rFont val="Tahoma"/>
            <charset val="1"/>
          </rPr>
          <t xml:space="preserve">Inserir nome do vermífugo desejado.
</t>
        </r>
      </text>
    </comment>
    <comment ref="B166" authorId="0">
      <text>
        <r>
          <rPr>
            <sz val="9"/>
            <color indexed="81"/>
            <rFont val="Tahoma"/>
            <charset val="1"/>
          </rPr>
          <t xml:space="preserve">Inserir nome do vermífugo desejado.
</t>
        </r>
      </text>
    </comment>
    <comment ref="B171" authorId="0">
      <text>
        <r>
          <rPr>
            <b/>
            <sz val="9"/>
            <color indexed="81"/>
            <rFont val="Tahoma"/>
            <family val="2"/>
          </rPr>
          <t>Inserir nome do item desejado.</t>
        </r>
      </text>
    </comment>
    <comment ref="J187" authorId="0">
      <text>
        <r>
          <rPr>
            <b/>
            <sz val="9"/>
            <color indexed="81"/>
            <rFont val="Tahoma"/>
            <charset val="1"/>
          </rPr>
          <t>Recuperados da aba "Custos Anuais".</t>
        </r>
      </text>
    </comment>
    <comment ref="B197" authorId="1">
      <text>
        <r>
          <rPr>
            <b/>
            <sz val="9"/>
            <rFont val="Tahoma"/>
            <family val="2"/>
          </rPr>
          <t>Insira os nomes ou funções dos funcionários da criação.
Aqui deve ser considerado o pro labore do proprietário também.</t>
        </r>
      </text>
    </comment>
    <comment ref="B203" authorId="1">
      <text>
        <r>
          <rPr>
            <b/>
            <sz val="9"/>
            <rFont val="Tahoma"/>
            <family val="2"/>
          </rPr>
          <t>Insira os nomes ou funções dos funcionários da criação</t>
        </r>
      </text>
    </comment>
    <comment ref="B216" authorId="0">
      <text>
        <r>
          <rPr>
            <b/>
            <sz val="9"/>
            <color indexed="81"/>
            <rFont val="Tahoma"/>
            <family val="2"/>
          </rPr>
          <t>Inserir os tipos desejados de cercas.</t>
        </r>
      </text>
    </comment>
    <comment ref="G222" authorId="1">
      <text>
        <r>
          <rPr>
            <b/>
            <sz val="9"/>
            <rFont val="Tahoma"/>
            <family val="2"/>
          </rPr>
          <t>Para equipamentos que têm sua vida útil medida em horas, como trator e demais implementos.</t>
        </r>
      </text>
    </comment>
    <comment ref="C223" authorId="0">
      <text>
        <r>
          <rPr>
            <b/>
            <sz val="9"/>
            <color indexed="81"/>
            <rFont val="Tahoma"/>
            <family val="2"/>
          </rPr>
          <t>Especifique a potência do trator utilizado para a aplicação de fertilizantes nas pastagens e capineiras.</t>
        </r>
      </text>
    </comment>
    <comment ref="B224" authorId="1">
      <text>
        <r>
          <rPr>
            <b/>
            <sz val="9"/>
            <rFont val="Tahoma"/>
            <family val="2"/>
          </rPr>
          <t>Insira os nomes dos equipamentos utilizados na criação</t>
        </r>
      </text>
    </comment>
    <comment ref="G229" authorId="1">
      <text>
        <r>
          <rPr>
            <b/>
            <sz val="9"/>
            <rFont val="Tahoma"/>
            <family val="2"/>
          </rPr>
          <t>Para equipamentos que, assim como as instalações, têm sua vida útil medida em anos. Exemplos: balanças, geladeiras, cochos, etc.</t>
        </r>
      </text>
    </comment>
    <comment ref="E247" authorId="1">
      <text>
        <r>
          <rPr>
            <b/>
            <sz val="9"/>
            <rFont val="Tahoma"/>
            <family val="2"/>
          </rPr>
          <t>Porcentagem do valor do equipamento ou instalação que é usada para consertos e manutenções do bem ao longo do ano.</t>
        </r>
      </text>
    </comment>
    <comment ref="B259" authorId="0">
      <text>
        <r>
          <rPr>
            <b/>
            <sz val="9"/>
            <color indexed="81"/>
            <rFont val="Tahoma"/>
            <family val="2"/>
          </rPr>
          <t>Inserir os nomes dos fertilizantes desejados.</t>
        </r>
      </text>
    </comment>
    <comment ref="B266" authorId="0">
      <text>
        <r>
          <rPr>
            <b/>
            <sz val="9"/>
            <color indexed="81"/>
            <rFont val="Tahoma"/>
            <family val="2"/>
          </rPr>
          <t>Inserir os nomes dos fertilizantes desejados.</t>
        </r>
      </text>
    </comment>
    <comment ref="J282" authorId="0">
      <text>
        <r>
          <rPr>
            <b/>
            <sz val="9"/>
            <color indexed="81"/>
            <rFont val="Tahoma"/>
            <charset val="1"/>
          </rPr>
          <t>Recuperados da aba "Custos Anuais".</t>
        </r>
      </text>
    </comment>
    <comment ref="D286" authorId="0">
      <text>
        <r>
          <rPr>
            <b/>
            <sz val="9"/>
            <color indexed="81"/>
            <rFont val="Tahoma"/>
            <family val="2"/>
          </rPr>
          <t>Inserir os nomes dos produtos desejados.</t>
        </r>
      </text>
    </comment>
  </commentList>
</comments>
</file>

<file path=xl/comments2.xml><?xml version="1.0" encoding="utf-8"?>
<comments xmlns="http://schemas.openxmlformats.org/spreadsheetml/2006/main">
  <authors>
    <author>Camila</author>
  </authors>
  <commentList>
    <comment ref="M14" authorId="0">
      <text>
        <r>
          <rPr>
            <b/>
            <sz val="9"/>
            <color indexed="81"/>
            <rFont val="Tahoma"/>
            <family val="2"/>
          </rPr>
          <t>Borregas que permanecerão na propriedade até idade superior à dos cordeiros abatidos.
Poderão ser vendidas ou incorporadas ao rebanho.</t>
        </r>
      </text>
    </comment>
    <comment ref="K247" authorId="0">
      <text>
        <r>
          <rPr>
            <sz val="9"/>
            <color indexed="81"/>
            <rFont val="Tahoma"/>
            <charset val="1"/>
          </rPr>
          <t>Valor recuperado da aba "Lucratividade".
Corresponde às receitas que não vêm de cordeiros e cordeiras vendidos para abate.</t>
        </r>
      </text>
    </comment>
  </commentList>
</comments>
</file>

<file path=xl/comments3.xml><?xml version="1.0" encoding="utf-8"?>
<comments xmlns="http://schemas.openxmlformats.org/spreadsheetml/2006/main">
  <authors>
    <author>Camila</author>
  </authors>
  <commentList>
    <comment ref="B23" authorId="0">
      <text>
        <r>
          <rPr>
            <b/>
            <sz val="9"/>
            <color indexed="81"/>
            <rFont val="Tahoma"/>
            <family val="2"/>
          </rPr>
          <t>Inserir os nomes dos cortes e demais produtos cárneos comercializados.</t>
        </r>
      </text>
    </comment>
  </commentList>
</comments>
</file>

<file path=xl/sharedStrings.xml><?xml version="1.0" encoding="utf-8"?>
<sst xmlns="http://schemas.openxmlformats.org/spreadsheetml/2006/main" count="1005" uniqueCount="557">
  <si>
    <t>Autores da planilha: Camila Raineri e Augusto Hauber Gameiro</t>
  </si>
  <si>
    <t>E-mail para contato: lae@usp.br</t>
  </si>
  <si>
    <t>ALIMENTOS POR ANO</t>
  </si>
  <si>
    <t>Categoria e situação fisiológica</t>
  </si>
  <si>
    <t>Alimento</t>
  </si>
  <si>
    <t>Período de fornecimento                       (dias por ciclo)</t>
  </si>
  <si>
    <t>Quantidade fornecida (kg/dia)</t>
  </si>
  <si>
    <t>Períodos e idades para referência</t>
  </si>
  <si>
    <t>Cordeiros</t>
  </si>
  <si>
    <t xml:space="preserve">   Até o desmame</t>
  </si>
  <si>
    <t>Sal mineral</t>
  </si>
  <si>
    <t>Idade ao desmame</t>
  </si>
  <si>
    <t>Pastagem</t>
  </si>
  <si>
    <t>Idade ao abate</t>
  </si>
  <si>
    <t>Duração início de gestação</t>
  </si>
  <si>
    <t>Duração fim de gestação</t>
  </si>
  <si>
    <t>Duração da lactação</t>
  </si>
  <si>
    <t>Duração estação de monta</t>
  </si>
  <si>
    <t>Concentrado creep</t>
  </si>
  <si>
    <t>Concentrado terminação</t>
  </si>
  <si>
    <t>Ovelhas</t>
  </si>
  <si>
    <t xml:space="preserve">   Início de gestação</t>
  </si>
  <si>
    <t>Concentrado adultos</t>
  </si>
  <si>
    <t xml:space="preserve">   Fim de gestação</t>
  </si>
  <si>
    <t xml:space="preserve">   Lactação</t>
  </si>
  <si>
    <t xml:space="preserve">   Solteiras</t>
  </si>
  <si>
    <t>Reprodutores</t>
  </si>
  <si>
    <t xml:space="preserve">   Em monta</t>
  </si>
  <si>
    <t xml:space="preserve">   Em manutenção</t>
  </si>
  <si>
    <t>Observações:</t>
  </si>
  <si>
    <r>
      <t>1. A soma dos dias "</t>
    </r>
    <r>
      <rPr>
        <b/>
        <u/>
        <sz val="13"/>
        <color indexed="57"/>
        <rFont val="Calibri"/>
        <family val="2"/>
      </rPr>
      <t>até o desmame</t>
    </r>
    <r>
      <rPr>
        <b/>
        <sz val="13"/>
        <color indexed="57"/>
        <rFont val="Calibri"/>
        <family val="2"/>
      </rPr>
      <t>" e "</t>
    </r>
    <r>
      <rPr>
        <b/>
        <u/>
        <sz val="13"/>
        <color indexed="57"/>
        <rFont val="Calibri"/>
        <family val="2"/>
      </rPr>
      <t>após o desmame</t>
    </r>
    <r>
      <rPr>
        <b/>
        <sz val="13"/>
        <color indexed="57"/>
        <rFont val="Calibri"/>
        <family val="2"/>
      </rPr>
      <t>" deve ser igual à "IDADE AO ABATE" informada na seção "COEFICIENTES ZOOTÉCNICOS", presente na planilha "CUSTOS ANUAIS".</t>
    </r>
  </si>
  <si>
    <r>
      <t xml:space="preserve">2. A soma dos dias em </t>
    </r>
    <r>
      <rPr>
        <b/>
        <u/>
        <sz val="13"/>
        <color indexed="57"/>
        <rFont val="Calibri"/>
        <family val="2"/>
      </rPr>
      <t>início de gestação</t>
    </r>
    <r>
      <rPr>
        <b/>
        <sz val="13"/>
        <color indexed="57"/>
        <rFont val="Calibri"/>
        <family val="2"/>
      </rPr>
      <t>,</t>
    </r>
    <r>
      <rPr>
        <b/>
        <u/>
        <sz val="13"/>
        <color indexed="57"/>
        <rFont val="Calibri"/>
        <family val="2"/>
      </rPr>
      <t xml:space="preserve"> fim de gestação</t>
    </r>
    <r>
      <rPr>
        <b/>
        <sz val="13"/>
        <color indexed="57"/>
        <rFont val="Calibri"/>
        <family val="2"/>
      </rPr>
      <t xml:space="preserve">, </t>
    </r>
    <r>
      <rPr>
        <b/>
        <u/>
        <sz val="13"/>
        <color indexed="57"/>
        <rFont val="Calibri"/>
        <family val="2"/>
      </rPr>
      <t>lactação</t>
    </r>
    <r>
      <rPr>
        <b/>
        <sz val="13"/>
        <color indexed="57"/>
        <rFont val="Calibri"/>
        <family val="2"/>
      </rPr>
      <t xml:space="preserve"> e como </t>
    </r>
    <r>
      <rPr>
        <b/>
        <u/>
        <sz val="13"/>
        <color indexed="57"/>
        <rFont val="Calibri"/>
        <family val="2"/>
      </rPr>
      <t>solteira</t>
    </r>
    <r>
      <rPr>
        <b/>
        <sz val="13"/>
        <color indexed="57"/>
        <rFont val="Calibri"/>
        <family val="2"/>
      </rPr>
      <t xml:space="preserve"> deve ser igual ao "INTERVALO ENTRE PARTOS" informado na seção "COEFICIENTES ZOOTÉCNICOS", presente na planilha "CUSTOS ANUAIS".</t>
    </r>
  </si>
  <si>
    <t>MEDICAMENTOS</t>
  </si>
  <si>
    <t>Dose/cab/ciclo</t>
  </si>
  <si>
    <t>ml/dose</t>
  </si>
  <si>
    <t>Ciclos/ano</t>
  </si>
  <si>
    <t>Doses ou ml/cab/ano</t>
  </si>
  <si>
    <t>Vacina contra Clostridioses</t>
  </si>
  <si>
    <t>doses/cab/ano</t>
  </si>
  <si>
    <t xml:space="preserve">   Cordeiros</t>
  </si>
  <si>
    <t>-</t>
  </si>
  <si>
    <t xml:space="preserve">   Matrizes</t>
  </si>
  <si>
    <t xml:space="preserve">   Reprodutores</t>
  </si>
  <si>
    <t>ml/cab/ano</t>
  </si>
  <si>
    <t xml:space="preserve">        Reprodutores</t>
  </si>
  <si>
    <t>MANEJO REPRODUTIVO</t>
  </si>
  <si>
    <t>Exame/animal/ciclo</t>
  </si>
  <si>
    <t>Exames/animal/ano</t>
  </si>
  <si>
    <t>Exame andrológico</t>
  </si>
  <si>
    <t>Diagnóstico de gestação</t>
  </si>
  <si>
    <t>MÃO DE OBRA</t>
  </si>
  <si>
    <t>Tipo</t>
  </si>
  <si>
    <t>Horas na ovinocultura/dia</t>
  </si>
  <si>
    <t>Dias na ovinocultura/ano</t>
  </si>
  <si>
    <t>Permanente</t>
  </si>
  <si>
    <t xml:space="preserve">   Funcionário 1</t>
  </si>
  <si>
    <t xml:space="preserve">   Funcionário 2</t>
  </si>
  <si>
    <t xml:space="preserve">   Funcionário 3</t>
  </si>
  <si>
    <t xml:space="preserve">   Funcionário 4</t>
  </si>
  <si>
    <t xml:space="preserve">   Funcionário 5</t>
  </si>
  <si>
    <t>Diarista</t>
  </si>
  <si>
    <t xml:space="preserve">   Funcionário 6</t>
  </si>
  <si>
    <t xml:space="preserve">   Funcionário 7</t>
  </si>
  <si>
    <t xml:space="preserve">   Funcionário 8</t>
  </si>
  <si>
    <t xml:space="preserve">   Funcionário 9</t>
  </si>
  <si>
    <t xml:space="preserve">   Funcionário 10</t>
  </si>
  <si>
    <t>ÁREAS E MEDIDAS</t>
  </si>
  <si>
    <t>Unidade</t>
  </si>
  <si>
    <t>Áreas/medidas</t>
  </si>
  <si>
    <t>Pastagens para ovinos</t>
  </si>
  <si>
    <t>ha</t>
  </si>
  <si>
    <t>Capineiras para ovinos</t>
  </si>
  <si>
    <t>Instalações</t>
  </si>
  <si>
    <t>m²</t>
  </si>
  <si>
    <t>Cercas</t>
  </si>
  <si>
    <t>m linear</t>
  </si>
  <si>
    <t>TEMPO DE UTILIZAÇÃO, VIDA ÚTIL E VALOR RESIDUAL</t>
  </si>
  <si>
    <t>CV's</t>
  </si>
  <si>
    <t>Horas utilizadas por dia</t>
  </si>
  <si>
    <t>Horas utilizadas por mês</t>
  </si>
  <si>
    <t>Vida útil (horas)</t>
  </si>
  <si>
    <t>Valor residual (%)</t>
  </si>
  <si>
    <t>Valor residual (R$)</t>
  </si>
  <si>
    <t>Trator</t>
  </si>
  <si>
    <t>Carreta 4 rodas</t>
  </si>
  <si>
    <t>Ensiladeira</t>
  </si>
  <si>
    <t>Equipamento 1</t>
  </si>
  <si>
    <t>Equipamento 2</t>
  </si>
  <si>
    <t>Equipamento 3</t>
  </si>
  <si>
    <t>Vida útil (anos)</t>
  </si>
  <si>
    <t>Balança</t>
  </si>
  <si>
    <t>Equipamento 5</t>
  </si>
  <si>
    <t>Equipamento 6</t>
  </si>
  <si>
    <t>Equipamento 7</t>
  </si>
  <si>
    <t>Equipamento 8</t>
  </si>
  <si>
    <t>Equipamento 9</t>
  </si>
  <si>
    <t>Vida útil (meses)</t>
  </si>
  <si>
    <t>Carneiro reprodutor</t>
  </si>
  <si>
    <t>Fêmeas para expansão</t>
  </si>
  <si>
    <t>MANUTENÇÃO DE EQUIPAMENTOS E INSTALAÇÕES</t>
  </si>
  <si>
    <t>Taxa de manutenção anual</t>
  </si>
  <si>
    <t>Equipamentos</t>
  </si>
  <si>
    <t>APLICAÇÃO DE FERTILIZANTES</t>
  </si>
  <si>
    <t>No. aplicações/ano</t>
  </si>
  <si>
    <t>Pastagens</t>
  </si>
  <si>
    <t xml:space="preserve">    Esterco</t>
  </si>
  <si>
    <t>t/ano</t>
  </si>
  <si>
    <t>Capineiras</t>
  </si>
  <si>
    <t>ENERGIA E COMBUSTÍVEIS</t>
  </si>
  <si>
    <t>Unidades</t>
  </si>
  <si>
    <t>Diesel (exceto manutenção pastos e capineiras)</t>
  </si>
  <si>
    <t>Litros/mês</t>
  </si>
  <si>
    <t>Energia elétrica</t>
  </si>
  <si>
    <t>KWh/mês</t>
  </si>
  <si>
    <t>PREÇOS DOS INSUMOS UTILIZADOS NA CRIAÇÃO</t>
  </si>
  <si>
    <t>Insumos</t>
  </si>
  <si>
    <t>Observação</t>
  </si>
  <si>
    <t>Preço</t>
  </si>
  <si>
    <t>Aprisco</t>
  </si>
  <si>
    <r>
      <t>R$/m</t>
    </r>
    <r>
      <rPr>
        <sz val="13"/>
        <color indexed="8"/>
        <rFont val="Calibri"/>
        <family val="2"/>
      </rPr>
      <t>²</t>
    </r>
  </si>
  <si>
    <t>R$/m linear</t>
  </si>
  <si>
    <t xml:space="preserve">Equipamentos </t>
  </si>
  <si>
    <t xml:space="preserve">Trator </t>
  </si>
  <si>
    <t>R$/unidade</t>
  </si>
  <si>
    <t>Animais</t>
  </si>
  <si>
    <t>Fêmeas para reprodução</t>
  </si>
  <si>
    <t>Adultas</t>
  </si>
  <si>
    <t>Adultos</t>
  </si>
  <si>
    <t>Jovens</t>
  </si>
  <si>
    <t>Mão de obra permanente</t>
  </si>
  <si>
    <t>R$/mês</t>
  </si>
  <si>
    <t>Mão de obra diarista</t>
  </si>
  <si>
    <t>R$/dia</t>
  </si>
  <si>
    <t>Energia e combustíveis</t>
  </si>
  <si>
    <t>Diesel</t>
  </si>
  <si>
    <t>R$/litro</t>
  </si>
  <si>
    <t>Energia Elétrica</t>
  </si>
  <si>
    <t>R$/KWh</t>
  </si>
  <si>
    <t>Calcário e fertilizantes</t>
  </si>
  <si>
    <t>Esterco</t>
  </si>
  <si>
    <t>R$/t</t>
  </si>
  <si>
    <t>Calcário</t>
  </si>
  <si>
    <t>Volumosos</t>
  </si>
  <si>
    <t>Sal Mineral</t>
  </si>
  <si>
    <t>R$/kg</t>
  </si>
  <si>
    <t>Concentrados</t>
  </si>
  <si>
    <t>Sanidade</t>
  </si>
  <si>
    <t>R$/dose</t>
  </si>
  <si>
    <t>R$/ml</t>
  </si>
  <si>
    <t>Manejo reprodutivo</t>
  </si>
  <si>
    <t>R$/exame/cab</t>
  </si>
  <si>
    <t>Arrendamento</t>
  </si>
  <si>
    <t>Valor na região</t>
  </si>
  <si>
    <t>R$/ha/ano</t>
  </si>
  <si>
    <t>Impostos e taxas variáveis</t>
  </si>
  <si>
    <t>Impostos (ICMS, entre outros)</t>
  </si>
  <si>
    <t>R$/ano</t>
  </si>
  <si>
    <t>Taxas (GTAs, entre outros)</t>
  </si>
  <si>
    <t>Impostos e taxas fixos</t>
  </si>
  <si>
    <t>Impostos (ITR, entre outros)</t>
  </si>
  <si>
    <t>Taxas (sindicato, entre outros)</t>
  </si>
  <si>
    <t>Juros sobre capital imobilizado</t>
  </si>
  <si>
    <t>% ao ano</t>
  </si>
  <si>
    <t>Juros sobre capital de giro</t>
  </si>
  <si>
    <t>CUSTOS ANUAIS DE PRODUÇÃO DE CORDEIROS DE CORTE</t>
  </si>
  <si>
    <t>A -</t>
  </si>
  <si>
    <t>CUSTOS VARIÁVEIS</t>
  </si>
  <si>
    <t>Quantidade</t>
  </si>
  <si>
    <t>Custo</t>
  </si>
  <si>
    <t>COEFICIENTES ZOOTÉCNICOS</t>
  </si>
  <si>
    <t xml:space="preserve">I - </t>
  </si>
  <si>
    <t>DESPESAS DE CUSTEIO DA CRIAÇÃO</t>
  </si>
  <si>
    <t>1.</t>
  </si>
  <si>
    <t>Alimentação</t>
  </si>
  <si>
    <t>No. de ovelhas (cab)</t>
  </si>
  <si>
    <t>1.1.</t>
  </si>
  <si>
    <t>No. de carneiros (cab)</t>
  </si>
  <si>
    <t>1.1.1.</t>
  </si>
  <si>
    <t>kg/cab/ano</t>
  </si>
  <si>
    <t>Cordeiros disponíveis por ano (cab)</t>
  </si>
  <si>
    <t>1.1.2.</t>
  </si>
  <si>
    <t xml:space="preserve">Volumosos </t>
  </si>
  <si>
    <r>
      <t xml:space="preserve">No. de fêmeas adquiridas ou retidas </t>
    </r>
    <r>
      <rPr>
        <b/>
        <u/>
        <sz val="13"/>
        <color indexed="9"/>
        <rFont val="Calibri"/>
        <family val="2"/>
      </rPr>
      <t xml:space="preserve">para expansão </t>
    </r>
    <r>
      <rPr>
        <b/>
        <sz val="13"/>
        <color indexed="9"/>
        <rFont val="Calibri"/>
        <family val="2"/>
      </rPr>
      <t>(cab)</t>
    </r>
  </si>
  <si>
    <t>1.1.2.1.</t>
  </si>
  <si>
    <t>Taxa de descarte anual de matrizes</t>
  </si>
  <si>
    <t>1.1.2.2.</t>
  </si>
  <si>
    <t>Prolificidade (%)</t>
  </si>
  <si>
    <t>1.1.2.3.</t>
  </si>
  <si>
    <t>Intervalo entre partos (mês)</t>
  </si>
  <si>
    <t>1.1.2.4.</t>
  </si>
  <si>
    <t>1.1.2.5.</t>
  </si>
  <si>
    <t>Sobrevivência cordeiros</t>
  </si>
  <si>
    <t>1.1.3.</t>
  </si>
  <si>
    <t>Idade ao desmame (dias)</t>
  </si>
  <si>
    <t>1.1.4.</t>
  </si>
  <si>
    <t>Concentrado confinamento</t>
  </si>
  <si>
    <t>Peso de venda do cordeiro (kg)</t>
  </si>
  <si>
    <t>1.2.</t>
  </si>
  <si>
    <t>Matrizes</t>
  </si>
  <si>
    <t>Idade ao abate (dias)</t>
  </si>
  <si>
    <t>1.2.1.</t>
  </si>
  <si>
    <t>Rendimento de carcaça cordeiro (%)</t>
  </si>
  <si>
    <t>1.2.2.</t>
  </si>
  <si>
    <t>1.2.2.1.</t>
  </si>
  <si>
    <t>1.2.2.2.</t>
  </si>
  <si>
    <t>1.2.2.3.</t>
  </si>
  <si>
    <t>1.2.2.4.</t>
  </si>
  <si>
    <t>1.2.2.5.</t>
  </si>
  <si>
    <t>1.2.3.</t>
  </si>
  <si>
    <t>1.3.</t>
  </si>
  <si>
    <t>1.3.1.</t>
  </si>
  <si>
    <t>1.3.2.</t>
  </si>
  <si>
    <t>1.3.2.1.</t>
  </si>
  <si>
    <t>1.3.2.2.</t>
  </si>
  <si>
    <t>1.3.2.3.</t>
  </si>
  <si>
    <t>1.3.2.4.</t>
  </si>
  <si>
    <t>1.3.2.5.</t>
  </si>
  <si>
    <t>1.3.3.</t>
  </si>
  <si>
    <t>Subtotal alimentação</t>
  </si>
  <si>
    <t>2.</t>
  </si>
  <si>
    <t>Despesas veterinárias</t>
  </si>
  <si>
    <t>2.1.</t>
  </si>
  <si>
    <t>3.1.1.</t>
  </si>
  <si>
    <t>3.1.2.</t>
  </si>
  <si>
    <t>dose/cab/ano</t>
  </si>
  <si>
    <t>3.1.3.</t>
  </si>
  <si>
    <t>3.1.4.</t>
  </si>
  <si>
    <t>2.2.</t>
  </si>
  <si>
    <t>3.2.1.</t>
  </si>
  <si>
    <t>3.2.2.</t>
  </si>
  <si>
    <t>3.2.3.</t>
  </si>
  <si>
    <t>3.2.4.</t>
  </si>
  <si>
    <t>3.2.5.</t>
  </si>
  <si>
    <t>exame/cab/ano</t>
  </si>
  <si>
    <t>2.3.</t>
  </si>
  <si>
    <t>Subtotal despesas veterinárias</t>
  </si>
  <si>
    <t>Subtotal - custeio da criação</t>
  </si>
  <si>
    <t>II -</t>
  </si>
  <si>
    <t>OUTRAS DESPESAS VARIÁVEIS</t>
  </si>
  <si>
    <t>Impostos</t>
  </si>
  <si>
    <t>Taxas</t>
  </si>
  <si>
    <t>SUBTOTAL CUSTOS VARIÁVEIS</t>
  </si>
  <si>
    <t xml:space="preserve">B - </t>
  </si>
  <si>
    <t>CUSTOS FIXOS OPERACIONAIS</t>
  </si>
  <si>
    <t>III -</t>
  </si>
  <si>
    <t>horas/ano</t>
  </si>
  <si>
    <t>1.4.</t>
  </si>
  <si>
    <t>1.5.</t>
  </si>
  <si>
    <t>Mão de obra temporária</t>
  </si>
  <si>
    <t>2.4.</t>
  </si>
  <si>
    <t>2.5.</t>
  </si>
  <si>
    <t>Subtotal - mão de obra</t>
  </si>
  <si>
    <t>IV -</t>
  </si>
  <si>
    <t>litros/ano</t>
  </si>
  <si>
    <t>KWh/ano</t>
  </si>
  <si>
    <t>Subtotal - energia e combustíveis</t>
  </si>
  <si>
    <t>V -</t>
  </si>
  <si>
    <t>DEPRECIAÇÕES</t>
  </si>
  <si>
    <t>Benfeitorias e instalações</t>
  </si>
  <si>
    <r>
      <t>m</t>
    </r>
    <r>
      <rPr>
        <sz val="13"/>
        <color indexed="8"/>
        <rFont val="Calibri"/>
        <family val="2"/>
      </rPr>
      <t>²</t>
    </r>
  </si>
  <si>
    <t>Máquinas e implementos</t>
  </si>
  <si>
    <t>2.6.</t>
  </si>
  <si>
    <t>2.7.</t>
  </si>
  <si>
    <t>2.8.</t>
  </si>
  <si>
    <t>2.9.</t>
  </si>
  <si>
    <t>2.10.</t>
  </si>
  <si>
    <t>2.11.</t>
  </si>
  <si>
    <t>2.12.</t>
  </si>
  <si>
    <t>3.</t>
  </si>
  <si>
    <t>Machos reprodutores</t>
  </si>
  <si>
    <t>meses</t>
  </si>
  <si>
    <t>4.</t>
  </si>
  <si>
    <t>Fêmeas para expansão de rebanho</t>
  </si>
  <si>
    <t>Subtotal - depreciações</t>
  </si>
  <si>
    <t>VI -</t>
  </si>
  <si>
    <t>MANUTENÇÃO E CONSERVAÇÃO</t>
  </si>
  <si>
    <t>Manutenção de máquinas e equipamentos</t>
  </si>
  <si>
    <t>1.6.</t>
  </si>
  <si>
    <t>1.7.</t>
  </si>
  <si>
    <t>anos</t>
  </si>
  <si>
    <t>1.8.</t>
  </si>
  <si>
    <t>1.9.</t>
  </si>
  <si>
    <t>1.10.</t>
  </si>
  <si>
    <t>1.11.</t>
  </si>
  <si>
    <t>1.12.</t>
  </si>
  <si>
    <t>Instalações benfeitorias</t>
  </si>
  <si>
    <t>m lineares</t>
  </si>
  <si>
    <t>Manutenção de pastos e capineiras</t>
  </si>
  <si>
    <t>3.1.</t>
  </si>
  <si>
    <t>Pastos</t>
  </si>
  <si>
    <t>ton/ano</t>
  </si>
  <si>
    <t>3.2.</t>
  </si>
  <si>
    <t>Subtotal - manutenções</t>
  </si>
  <si>
    <t>VII -</t>
  </si>
  <si>
    <t>OUTRAS DESPESAS FIXAS</t>
  </si>
  <si>
    <t>Subtotal - outras despesas fixas</t>
  </si>
  <si>
    <t>SUBTOTAL CUSTOS FIXOS OPERACIONAIS</t>
  </si>
  <si>
    <t xml:space="preserve">C - </t>
  </si>
  <si>
    <t>CUSTO OPERACIONAL (A + B)</t>
  </si>
  <si>
    <t>VIII -</t>
  </si>
  <si>
    <t>RENDA DE FATORES</t>
  </si>
  <si>
    <t>Remuneração sobre o capital imobilizado</t>
  </si>
  <si>
    <t>Remuneração sobre capital - instalações</t>
  </si>
  <si>
    <t>Remuneração sobre capital - cercas</t>
  </si>
  <si>
    <t>Remuneração sobre capital - equipamentos</t>
  </si>
  <si>
    <t>Remuneração sobre capital - reprodutores</t>
  </si>
  <si>
    <t>Remuneração sobre capital - fêmeas para expansão</t>
  </si>
  <si>
    <t>Remuneração sobre o capital de giro</t>
  </si>
  <si>
    <t>Terra (custo de oportunidade do arrendamento)</t>
  </si>
  <si>
    <t>Subtotal - renda de fatores</t>
  </si>
  <si>
    <t xml:space="preserve">D - </t>
  </si>
  <si>
    <t>CUSTO TOTAL (C + VIII)</t>
  </si>
  <si>
    <t>Tipo de custo</t>
  </si>
  <si>
    <t>% do custo total</t>
  </si>
  <si>
    <t>Variáveis</t>
  </si>
  <si>
    <t>Fixos operacionais</t>
  </si>
  <si>
    <t>Renda dos fatores</t>
  </si>
  <si>
    <t>Item de custo</t>
  </si>
  <si>
    <t>% do total</t>
  </si>
  <si>
    <t>Mão de obra</t>
  </si>
  <si>
    <t>Depreciações</t>
  </si>
  <si>
    <t>Manutenções</t>
  </si>
  <si>
    <t>Manejo sanitário</t>
  </si>
  <si>
    <t>Energia e Combustíveis</t>
  </si>
  <si>
    <t>TOTAL</t>
  </si>
  <si>
    <t>RECEITAS DA OVINOCULTURA</t>
  </si>
  <si>
    <t>REFERÊNCIA - QUANTIDADES DISPONÍVEIS POR ANO</t>
  </si>
  <si>
    <t>Vendas</t>
  </si>
  <si>
    <t>Valor unitário</t>
  </si>
  <si>
    <t>Total</t>
  </si>
  <si>
    <t xml:space="preserve">    Abate</t>
  </si>
  <si>
    <t xml:space="preserve">   Machos (cabeças)</t>
  </si>
  <si>
    <t xml:space="preserve">    Reprodução</t>
  </si>
  <si>
    <t xml:space="preserve">   Machos (kg vivo)</t>
  </si>
  <si>
    <t>Borregas</t>
  </si>
  <si>
    <t xml:space="preserve">   Machos (kg carcaça)</t>
  </si>
  <si>
    <t xml:space="preserve">   Fêmeas (cabeças)</t>
  </si>
  <si>
    <t xml:space="preserve">    Mantidas para expansão</t>
  </si>
  <si>
    <t xml:space="preserve">   Fêmeas (kg vivo)</t>
  </si>
  <si>
    <t xml:space="preserve">   Fêmeas (kg carcaça)</t>
  </si>
  <si>
    <t>Ovelhas de descarte</t>
  </si>
  <si>
    <t xml:space="preserve">    Descarte</t>
  </si>
  <si>
    <t>Carneiros</t>
  </si>
  <si>
    <t>Total:</t>
  </si>
  <si>
    <t>Receita média por kg de cordeiro produzido:</t>
  </si>
  <si>
    <t>Descarte de reprodutores</t>
  </si>
  <si>
    <t>Cordeiros para abate</t>
  </si>
  <si>
    <t>R$/kg vivo</t>
  </si>
  <si>
    <t>Animais para reprodução</t>
  </si>
  <si>
    <t>Custo operacional (fixo + variável)</t>
  </si>
  <si>
    <t xml:space="preserve">Renda dos fatores (remuneração do capital e da terra) </t>
  </si>
  <si>
    <t>Custo total (custo operacional + renda dos fatores)</t>
  </si>
  <si>
    <t xml:space="preserve">Lucro econômico da ovinocultura (receita - custo total) </t>
  </si>
  <si>
    <t>Renda total ao produtor (lucro atividade + renda fatores) (R$/kg vivo)</t>
  </si>
  <si>
    <t>Renda total ao produtor (lucro atividade + renda fatores) (total)</t>
  </si>
  <si>
    <t>Taxa de fertilidade</t>
  </si>
  <si>
    <t>Fornecimento      (dias por ano)</t>
  </si>
  <si>
    <t>Senha das planilhas: ASPACO</t>
  </si>
  <si>
    <t>1.1.2.6.</t>
  </si>
  <si>
    <t>1.1.2.7.</t>
  </si>
  <si>
    <t>1.1.2.8.</t>
  </si>
  <si>
    <t>1.1.2.9.</t>
  </si>
  <si>
    <t>1.1.2.10.</t>
  </si>
  <si>
    <t>Vacina contra Pasteurelose</t>
  </si>
  <si>
    <t>Vacina contra Linfadenite</t>
  </si>
  <si>
    <t>Vacina contra Foot Rot</t>
  </si>
  <si>
    <t>Vacina contra outra coisa</t>
  </si>
  <si>
    <t>Anti helmíntico Tipo 3</t>
  </si>
  <si>
    <t>Anti helmíntico Tipo 1</t>
  </si>
  <si>
    <t>Anti helmíntico Tipo 2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</si>
  <si>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</si>
  <si>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</si>
  <si>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</si>
  <si>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</si>
  <si>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</si>
  <si>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</si>
  <si>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</si>
  <si>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</si>
  <si>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</si>
  <si>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</si>
  <si>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</si>
  <si>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</si>
  <si>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</si>
  <si>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</si>
  <si>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</si>
  <si>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</si>
  <si>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</si>
  <si>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</si>
  <si>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</si>
  <si>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</si>
  <si>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</si>
  <si>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</si>
  <si>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</si>
  <si>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</si>
  <si>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</si>
  <si>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</si>
  <si>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</si>
  <si>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</si>
  <si>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</si>
  <si>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Outros produtos</t>
  </si>
  <si>
    <t xml:space="preserve">    Lã</t>
  </si>
  <si>
    <t xml:space="preserve">    Outro item 1</t>
  </si>
  <si>
    <t xml:space="preserve">    Outro item 2</t>
  </si>
  <si>
    <t>RECEITAS VINDAS DOS OUTROS PRODUTOS</t>
  </si>
  <si>
    <t>Gasolina</t>
  </si>
  <si>
    <t>Outro medicamento</t>
  </si>
  <si>
    <t>Abastecimento de farmácia</t>
  </si>
  <si>
    <t>Fertilizante 1</t>
  </si>
  <si>
    <t>Fertilizante 2</t>
  </si>
  <si>
    <t>Fertilizante 3</t>
  </si>
  <si>
    <t>Fertilizante 4</t>
  </si>
  <si>
    <t>Fertilizante 5</t>
  </si>
  <si>
    <t>Fertilizante 6</t>
  </si>
  <si>
    <t>Herbicida 1</t>
  </si>
  <si>
    <t>l/ano</t>
  </si>
  <si>
    <t>Herbicida 2</t>
  </si>
  <si>
    <t>Quantidades aplicadas/ano</t>
  </si>
  <si>
    <t>3.1.5.</t>
  </si>
  <si>
    <t>3.1.6.</t>
  </si>
  <si>
    <t>3.2.6.</t>
  </si>
  <si>
    <t>Lã (total)</t>
  </si>
  <si>
    <t>Ovelhas tosquiadas</t>
  </si>
  <si>
    <t>Carneiros tosquiados</t>
  </si>
  <si>
    <t>SERVIÇO DE TOSQUIA</t>
  </si>
  <si>
    <t>TERCEIRIZAÇÃO DE ABATE E DESOSSA</t>
  </si>
  <si>
    <t>Serviço de tosquia</t>
  </si>
  <si>
    <t>Borregos</t>
  </si>
  <si>
    <t>R$/cab</t>
  </si>
  <si>
    <t>Qtd animais/ciclo</t>
  </si>
  <si>
    <t>Borregas e borregos tosquiados</t>
  </si>
  <si>
    <t xml:space="preserve">3. </t>
  </si>
  <si>
    <t>Despesas com tosquia</t>
  </si>
  <si>
    <t>3.3.</t>
  </si>
  <si>
    <t>Subtotal despesas com tosquia</t>
  </si>
  <si>
    <t>Tosquia de ovelhas</t>
  </si>
  <si>
    <t>Tosquia de borregos</t>
  </si>
  <si>
    <t>Tosquia de carneiros</t>
  </si>
  <si>
    <t>tosquias/ano</t>
  </si>
  <si>
    <t>Tosquias/ano</t>
  </si>
  <si>
    <t>Serviço de abate</t>
  </si>
  <si>
    <t>Serviço de desossa</t>
  </si>
  <si>
    <t>Serviço de armazenamento</t>
  </si>
  <si>
    <t>Quantidades</t>
  </si>
  <si>
    <t>cabeças/ciclo</t>
  </si>
  <si>
    <t>Quantidades/ano</t>
  </si>
  <si>
    <t>Quantidades/ciclo</t>
  </si>
  <si>
    <t>kg/ciclo</t>
  </si>
  <si>
    <t xml:space="preserve">4. </t>
  </si>
  <si>
    <t>Despesas de abate e processamento</t>
  </si>
  <si>
    <t>4.1.</t>
  </si>
  <si>
    <t>4.2.</t>
  </si>
  <si>
    <t>4.3.</t>
  </si>
  <si>
    <t>4.4.</t>
  </si>
  <si>
    <t>cab/ano</t>
  </si>
  <si>
    <t>kg/ano</t>
  </si>
  <si>
    <t>Subtotal despesas com abate e processamento</t>
  </si>
  <si>
    <t>Cercas - tipo 1</t>
  </si>
  <si>
    <t>Cercas - tipo 2</t>
  </si>
  <si>
    <t>Cercas - tipo 3</t>
  </si>
  <si>
    <t>Quantidade/ano</t>
  </si>
  <si>
    <t>5.</t>
  </si>
  <si>
    <t>Cordeiros+cordeiras</t>
  </si>
  <si>
    <t>Qtd de animais produzidos por ciclo</t>
  </si>
  <si>
    <t>Qtd de animais no sistema por ciclo</t>
  </si>
  <si>
    <t>Produção de lã das ovelhas (kg/cab/tosquia)</t>
  </si>
  <si>
    <t>Produção de lã dos borregos/borregas (kg/cab/tosquia)</t>
  </si>
  <si>
    <t>Produção de lã dos carneiros (kg/cab/tosquia)</t>
  </si>
  <si>
    <t>CUSTO TOTAL POR CORTE (KG DE CORTE)</t>
  </si>
  <si>
    <t>CUSTO TOTAL POR EMBUTIDO (KG DE PRODUTO)</t>
  </si>
  <si>
    <t>Cortes (em kg/ano)</t>
  </si>
  <si>
    <t xml:space="preserve">    Corte 2</t>
  </si>
  <si>
    <t xml:space="preserve">    Corte 3</t>
  </si>
  <si>
    <t xml:space="preserve">    Corte 1</t>
  </si>
  <si>
    <t xml:space="preserve">    Corte 4</t>
  </si>
  <si>
    <t xml:space="preserve">    Corte 5</t>
  </si>
  <si>
    <t xml:space="preserve">    Corte 6</t>
  </si>
  <si>
    <t xml:space="preserve">    Corte 7</t>
  </si>
  <si>
    <t xml:space="preserve">    Corte 8</t>
  </si>
  <si>
    <t xml:space="preserve">    Corte 9</t>
  </si>
  <si>
    <t xml:space="preserve">    Corte 10</t>
  </si>
  <si>
    <t xml:space="preserve">    Corte 11</t>
  </si>
  <si>
    <t xml:space="preserve">    Corte 12</t>
  </si>
  <si>
    <t xml:space="preserve">    Corte 13</t>
  </si>
  <si>
    <t xml:space="preserve">    Corte 14</t>
  </si>
  <si>
    <t xml:space="preserve">    Corte 15</t>
  </si>
  <si>
    <t>Embutidos (em kg/ano)</t>
  </si>
  <si>
    <t>Outro 1</t>
  </si>
  <si>
    <t>Outro 2</t>
  </si>
  <si>
    <t>Hambúrguer</t>
  </si>
  <si>
    <t>Linguiça</t>
  </si>
  <si>
    <t>Borregas em recria</t>
  </si>
  <si>
    <t>Cordeiros(as) para abate</t>
  </si>
  <si>
    <t xml:space="preserve">   Do desmame ao abate</t>
  </si>
  <si>
    <t xml:space="preserve">   Do desmame até a              venda ou até a primeira estação de monta</t>
  </si>
  <si>
    <t>Concentrado borregas</t>
  </si>
  <si>
    <t>1.3.2.6.</t>
  </si>
  <si>
    <t>1.3.2.7.</t>
  </si>
  <si>
    <t>1.3.2.8.</t>
  </si>
  <si>
    <t>1.3.2.9.</t>
  </si>
  <si>
    <t>1.3.2.10.</t>
  </si>
  <si>
    <t>1.4.1.</t>
  </si>
  <si>
    <t>1.4.2.</t>
  </si>
  <si>
    <t>1.4.2.1.</t>
  </si>
  <si>
    <t>1.4.2.2.</t>
  </si>
  <si>
    <t>1.4.2.3.</t>
  </si>
  <si>
    <t>1.4.2.4.</t>
  </si>
  <si>
    <t>1.4.2.5.</t>
  </si>
  <si>
    <t>1.4.2.6.</t>
  </si>
  <si>
    <t>1.4.2.7.</t>
  </si>
  <si>
    <t>1.4.2.8.</t>
  </si>
  <si>
    <t>1.4.2.9.</t>
  </si>
  <si>
    <t>1.4.2.10.</t>
  </si>
  <si>
    <t>1.4.3.</t>
  </si>
  <si>
    <t>No. de borregas recriadas para venda ou reposição (cab)</t>
  </si>
  <si>
    <t>Volumoso 1</t>
  </si>
  <si>
    <t>Volumoso 2</t>
  </si>
  <si>
    <t>Volumoso 3</t>
  </si>
  <si>
    <t>Volumoso 4</t>
  </si>
  <si>
    <t>Volumoso 5</t>
  </si>
  <si>
    <t>Volumoso 6</t>
  </si>
  <si>
    <t>Volumoso 7</t>
  </si>
  <si>
    <t>Volumoso 8</t>
  </si>
  <si>
    <t>Volumoso 9</t>
  </si>
  <si>
    <t xml:space="preserve">   Borregas em recria</t>
  </si>
  <si>
    <t>Serviço de processamento</t>
  </si>
  <si>
    <t>4.4.1.</t>
  </si>
  <si>
    <t>4.4.2.</t>
  </si>
  <si>
    <t>4.4.3.</t>
  </si>
  <si>
    <t>4.4.4.</t>
  </si>
  <si>
    <t>Serviço de frigorífico e entreposto</t>
  </si>
  <si>
    <t>Serviço de processamento:</t>
  </si>
  <si>
    <t>1.2.2.6.</t>
  </si>
  <si>
    <t>1.2.2.7.</t>
  </si>
  <si>
    <t>1.2.2.8.</t>
  </si>
  <si>
    <t>1.2.2.9.</t>
  </si>
  <si>
    <t>1.2.2.10.</t>
  </si>
  <si>
    <t>Tosquia</t>
  </si>
  <si>
    <t>Abate e processamento</t>
  </si>
  <si>
    <t>Itens eventuais fixos</t>
  </si>
  <si>
    <t>Itens eventuais variáveis</t>
  </si>
  <si>
    <t>Custo eventual fixo - 1</t>
  </si>
  <si>
    <t>Custo eventual fixo - 2</t>
  </si>
  <si>
    <t>Custo eventual variável - 1</t>
  </si>
  <si>
    <t>Custo eventual variável - 2</t>
  </si>
  <si>
    <t>Custo eventual variável - 3</t>
  </si>
  <si>
    <t>Subtotal - outras despesas variáveis</t>
  </si>
  <si>
    <t>Impostos, taxas e outros</t>
  </si>
  <si>
    <t>Outro 3</t>
  </si>
  <si>
    <t xml:space="preserve">Serviço de processamento  </t>
  </si>
  <si>
    <t xml:space="preserve">Serviço de processamento </t>
  </si>
  <si>
    <t>Cortes</t>
  </si>
  <si>
    <t>Embutidos</t>
  </si>
  <si>
    <t>CUSTO TOTAL POR CORDEIRO PRONTO PARA VENDA (CABEÇA)</t>
  </si>
  <si>
    <t>CUSTO TOTAL POR CORDEIRO PRONTO PARA VENDA (KG VIVO)</t>
  </si>
  <si>
    <t>CUSTO TOTAL POR CORDEIRO VENDIDO (KG DE CARCAÇA)</t>
  </si>
  <si>
    <t>Produtos disponíveis</t>
  </si>
  <si>
    <t>APRESENTAÇÃO</t>
  </si>
</sst>
</file>

<file path=xl/styles.xml><?xml version="1.0" encoding="utf-8"?>
<styleSheet xmlns="http://schemas.openxmlformats.org/spreadsheetml/2006/main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0.0%"/>
    <numFmt numFmtId="167" formatCode="0.000"/>
    <numFmt numFmtId="168" formatCode="0.0"/>
  </numFmts>
  <fonts count="33">
    <font>
      <sz val="11"/>
      <color theme="1"/>
      <name val="Calibri"/>
      <family val="2"/>
      <scheme val="minor"/>
    </font>
    <font>
      <sz val="13"/>
      <color indexed="8"/>
      <name val="Calibri"/>
      <family val="2"/>
    </font>
    <font>
      <b/>
      <u/>
      <sz val="13"/>
      <color indexed="9"/>
      <name val="Calibri"/>
      <family val="2"/>
    </font>
    <font>
      <b/>
      <sz val="13"/>
      <color indexed="9"/>
      <name val="Calibri"/>
      <family val="2"/>
    </font>
    <font>
      <b/>
      <u/>
      <sz val="13"/>
      <color indexed="57"/>
      <name val="Calibri"/>
      <family val="2"/>
    </font>
    <font>
      <b/>
      <sz val="13"/>
      <color indexed="57"/>
      <name val="Calibri"/>
      <family val="2"/>
    </font>
    <font>
      <b/>
      <sz val="9"/>
      <name val="Tahoma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3"/>
      <color rgb="FFFF0000"/>
      <name val="Calibri"/>
      <family val="2"/>
      <scheme val="minor"/>
    </font>
    <font>
      <sz val="13"/>
      <color theme="0"/>
      <name val="Calibri"/>
      <family val="2"/>
      <scheme val="minor"/>
    </font>
    <font>
      <b/>
      <i/>
      <sz val="13"/>
      <color theme="0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i/>
      <sz val="13"/>
      <color indexed="8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u/>
      <sz val="13"/>
      <color theme="0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u/>
      <sz val="13"/>
      <color rgb="FF000000"/>
      <name val="Calibri"/>
      <family val="2"/>
      <scheme val="minor"/>
    </font>
    <font>
      <b/>
      <sz val="13"/>
      <color theme="6" tint="-0.249977111117893"/>
      <name val="Calibri"/>
      <family val="2"/>
      <scheme val="minor"/>
    </font>
    <font>
      <u/>
      <sz val="13"/>
      <color rgb="FFFF0000"/>
      <name val="Calibri"/>
      <family val="2"/>
      <scheme val="minor"/>
    </font>
    <font>
      <b/>
      <u/>
      <sz val="13"/>
      <name val="Calibri"/>
      <family val="2"/>
      <scheme val="minor"/>
    </font>
    <font>
      <b/>
      <i/>
      <u/>
      <sz val="13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24"/>
      </patternFill>
    </fill>
    <fill>
      <patternFill patternType="solid">
        <fgColor theme="6" tint="-0.499984740745262"/>
        <bgColor indexed="2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95">
    <xf numFmtId="0" fontId="0" fillId="0" borderId="0" xfId="0"/>
    <xf numFmtId="0" fontId="8" fillId="3" borderId="0" xfId="0" applyFont="1" applyFill="1" applyProtection="1"/>
    <xf numFmtId="0" fontId="8" fillId="3" borderId="0" xfId="0" applyFont="1" applyFill="1" applyAlignment="1" applyProtection="1">
      <alignment horizontal="center"/>
    </xf>
    <xf numFmtId="0" fontId="9" fillId="4" borderId="1" xfId="0" applyFont="1" applyFill="1" applyBorder="1" applyProtection="1"/>
    <xf numFmtId="0" fontId="10" fillId="3" borderId="4" xfId="0" applyFont="1" applyFill="1" applyBorder="1" applyProtection="1"/>
    <xf numFmtId="0" fontId="11" fillId="3" borderId="5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</xf>
    <xf numFmtId="0" fontId="10" fillId="3" borderId="7" xfId="0" applyFont="1" applyFill="1" applyBorder="1" applyProtection="1"/>
    <xf numFmtId="0" fontId="8" fillId="3" borderId="7" xfId="0" applyFont="1" applyFill="1" applyBorder="1" applyProtection="1"/>
    <xf numFmtId="165" fontId="12" fillId="2" borderId="0" xfId="0" applyNumberFormat="1" applyFont="1" applyFill="1" applyBorder="1" applyAlignment="1" applyProtection="1">
      <alignment horizontal="center"/>
      <protection locked="0"/>
    </xf>
    <xf numFmtId="165" fontId="9" fillId="4" borderId="8" xfId="0" applyNumberFormat="1" applyFont="1" applyFill="1" applyBorder="1" applyAlignment="1" applyProtection="1">
      <alignment horizontal="center"/>
    </xf>
    <xf numFmtId="1" fontId="13" fillId="3" borderId="8" xfId="0" applyNumberFormat="1" applyFont="1" applyFill="1" applyBorder="1" applyAlignment="1" applyProtection="1">
      <alignment horizontal="center"/>
    </xf>
    <xf numFmtId="4" fontId="13" fillId="3" borderId="8" xfId="0" applyNumberFormat="1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>
      <alignment horizontal="center"/>
    </xf>
    <xf numFmtId="165" fontId="14" fillId="3" borderId="0" xfId="0" applyNumberFormat="1" applyFont="1" applyFill="1" applyBorder="1" applyAlignment="1" applyProtection="1">
      <alignment horizontal="center"/>
    </xf>
    <xf numFmtId="0" fontId="13" fillId="3" borderId="0" xfId="0" applyFont="1" applyFill="1" applyBorder="1" applyAlignment="1" applyProtection="1">
      <alignment horizontal="center"/>
    </xf>
    <xf numFmtId="165" fontId="13" fillId="3" borderId="0" xfId="0" applyNumberFormat="1" applyFont="1" applyFill="1" applyBorder="1" applyAlignment="1" applyProtection="1">
      <alignment horizontal="center"/>
    </xf>
    <xf numFmtId="0" fontId="10" fillId="3" borderId="9" xfId="0" applyFont="1" applyFill="1" applyBorder="1" applyProtection="1"/>
    <xf numFmtId="0" fontId="8" fillId="3" borderId="9" xfId="0" applyFont="1" applyFill="1" applyBorder="1" applyProtection="1"/>
    <xf numFmtId="0" fontId="15" fillId="4" borderId="4" xfId="0" applyFont="1" applyFill="1" applyBorder="1" applyProtection="1"/>
    <xf numFmtId="0" fontId="15" fillId="4" borderId="5" xfId="0" applyFont="1" applyFill="1" applyBorder="1" applyAlignment="1" applyProtection="1">
      <alignment horizontal="center"/>
    </xf>
    <xf numFmtId="0" fontId="16" fillId="4" borderId="5" xfId="0" applyFont="1" applyFill="1" applyBorder="1" applyAlignment="1" applyProtection="1">
      <alignment horizontal="right"/>
    </xf>
    <xf numFmtId="165" fontId="16" fillId="4" borderId="6" xfId="0" applyNumberFormat="1" applyFont="1" applyFill="1" applyBorder="1" applyAlignment="1" applyProtection="1">
      <alignment horizontal="center"/>
    </xf>
    <xf numFmtId="165" fontId="16" fillId="4" borderId="10" xfId="0" applyNumberFormat="1" applyFont="1" applyFill="1" applyBorder="1" applyAlignment="1" applyProtection="1">
      <alignment horizontal="center"/>
    </xf>
    <xf numFmtId="10" fontId="8" fillId="3" borderId="0" xfId="2" applyNumberFormat="1" applyFont="1" applyFill="1" applyAlignment="1" applyProtection="1">
      <alignment horizontal="center"/>
    </xf>
    <xf numFmtId="0" fontId="15" fillId="4" borderId="1" xfId="0" applyFont="1" applyFill="1" applyBorder="1" applyAlignment="1" applyProtection="1"/>
    <xf numFmtId="0" fontId="15" fillId="4" borderId="2" xfId="0" applyFont="1" applyFill="1" applyBorder="1" applyAlignment="1" applyProtection="1"/>
    <xf numFmtId="0" fontId="15" fillId="2" borderId="4" xfId="0" applyFont="1" applyFill="1" applyBorder="1" applyAlignment="1" applyProtection="1"/>
    <xf numFmtId="0" fontId="15" fillId="2" borderId="5" xfId="0" applyFont="1" applyFill="1" applyBorder="1" applyAlignment="1" applyProtection="1"/>
    <xf numFmtId="0" fontId="15" fillId="2" borderId="6" xfId="0" applyFont="1" applyFill="1" applyBorder="1" applyAlignment="1" applyProtection="1"/>
    <xf numFmtId="0" fontId="17" fillId="5" borderId="7" xfId="0" applyFont="1" applyFill="1" applyBorder="1" applyAlignment="1" applyProtection="1"/>
    <xf numFmtId="0" fontId="17" fillId="5" borderId="0" xfId="0" applyFont="1" applyFill="1" applyBorder="1" applyAlignment="1" applyProtection="1"/>
    <xf numFmtId="165" fontId="12" fillId="5" borderId="8" xfId="1" applyNumberFormat="1" applyFont="1" applyFill="1" applyBorder="1" applyAlignment="1" applyProtection="1"/>
    <xf numFmtId="0" fontId="18" fillId="5" borderId="9" xfId="0" applyFont="1" applyFill="1" applyBorder="1" applyAlignment="1" applyProtection="1"/>
    <xf numFmtId="0" fontId="18" fillId="5" borderId="11" xfId="0" applyFont="1" applyFill="1" applyBorder="1" applyAlignment="1" applyProtection="1"/>
    <xf numFmtId="0" fontId="18" fillId="5" borderId="10" xfId="0" applyFont="1" applyFill="1" applyBorder="1" applyAlignment="1" applyProtection="1"/>
    <xf numFmtId="164" fontId="8" fillId="3" borderId="0" xfId="0" applyNumberFormat="1" applyFont="1" applyFill="1" applyProtection="1"/>
    <xf numFmtId="165" fontId="9" fillId="6" borderId="3" xfId="1" applyNumberFormat="1" applyFont="1" applyFill="1" applyBorder="1" applyAlignment="1" applyProtection="1"/>
    <xf numFmtId="0" fontId="8" fillId="2" borderId="4" xfId="0" applyFont="1" applyFill="1" applyBorder="1" applyProtection="1"/>
    <xf numFmtId="165" fontId="8" fillId="2" borderId="5" xfId="0" applyNumberFormat="1" applyFont="1" applyFill="1" applyBorder="1" applyProtection="1"/>
    <xf numFmtId="10" fontId="8" fillId="2" borderId="8" xfId="2" applyNumberFormat="1" applyFont="1" applyFill="1" applyBorder="1" applyAlignment="1" applyProtection="1">
      <alignment horizontal="center"/>
    </xf>
    <xf numFmtId="0" fontId="8" fillId="2" borderId="7" xfId="0" applyFont="1" applyFill="1" applyBorder="1" applyProtection="1"/>
    <xf numFmtId="165" fontId="8" fillId="2" borderId="0" xfId="0" applyNumberFormat="1" applyFont="1" applyFill="1" applyBorder="1" applyProtection="1"/>
    <xf numFmtId="0" fontId="8" fillId="2" borderId="9" xfId="0" applyFont="1" applyFill="1" applyBorder="1" applyProtection="1"/>
    <xf numFmtId="165" fontId="8" fillId="2" borderId="11" xfId="0" applyNumberFormat="1" applyFont="1" applyFill="1" applyBorder="1" applyProtection="1"/>
    <xf numFmtId="10" fontId="8" fillId="2" borderId="10" xfId="2" applyNumberFormat="1" applyFont="1" applyFill="1" applyBorder="1" applyAlignment="1" applyProtection="1">
      <alignment horizontal="center"/>
    </xf>
    <xf numFmtId="10" fontId="8" fillId="2" borderId="6" xfId="2" applyNumberFormat="1" applyFont="1" applyFill="1" applyBorder="1" applyAlignment="1" applyProtection="1">
      <alignment horizontal="center"/>
    </xf>
    <xf numFmtId="0" fontId="19" fillId="3" borderId="0" xfId="0" applyFont="1" applyFill="1" applyProtection="1"/>
    <xf numFmtId="0" fontId="8" fillId="3" borderId="0" xfId="0" applyFont="1" applyFill="1" applyBorder="1" applyProtection="1"/>
    <xf numFmtId="0" fontId="8" fillId="3" borderId="0" xfId="0" applyFont="1" applyFill="1" applyAlignment="1" applyProtection="1">
      <alignment horizontal="right"/>
    </xf>
    <xf numFmtId="0" fontId="13" fillId="3" borderId="0" xfId="0" applyFont="1" applyFill="1" applyAlignment="1" applyProtection="1">
      <alignment horizontal="center"/>
    </xf>
    <xf numFmtId="0" fontId="9" fillId="4" borderId="12" xfId="0" applyFont="1" applyFill="1" applyBorder="1" applyAlignment="1" applyProtection="1">
      <alignment horizontal="center"/>
    </xf>
    <xf numFmtId="0" fontId="19" fillId="3" borderId="7" xfId="0" applyFont="1" applyFill="1" applyBorder="1" applyProtection="1"/>
    <xf numFmtId="0" fontId="19" fillId="3" borderId="0" xfId="0" applyFont="1" applyFill="1" applyBorder="1" applyAlignment="1" applyProtection="1">
      <alignment horizontal="right"/>
    </xf>
    <xf numFmtId="0" fontId="19" fillId="3" borderId="14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right"/>
    </xf>
    <xf numFmtId="0" fontId="8" fillId="3" borderId="14" xfId="0" applyFont="1" applyFill="1" applyBorder="1" applyAlignment="1" applyProtection="1">
      <alignment horizontal="center"/>
    </xf>
    <xf numFmtId="2" fontId="8" fillId="3" borderId="14" xfId="0" applyNumberFormat="1" applyFont="1" applyFill="1" applyBorder="1" applyAlignment="1" applyProtection="1">
      <alignment horizontal="center"/>
    </xf>
    <xf numFmtId="17" fontId="9" fillId="4" borderId="16" xfId="0" applyNumberFormat="1" applyFont="1" applyFill="1" applyBorder="1" applyAlignment="1" applyProtection="1">
      <alignment horizontal="center"/>
    </xf>
    <xf numFmtId="0" fontId="19" fillId="3" borderId="15" xfId="0" applyFont="1" applyFill="1" applyBorder="1" applyAlignment="1" applyProtection="1">
      <alignment horizontal="center"/>
    </xf>
    <xf numFmtId="165" fontId="16" fillId="4" borderId="8" xfId="0" applyNumberFormat="1" applyFont="1" applyFill="1" applyBorder="1" applyAlignment="1" applyProtection="1">
      <alignment horizontal="center"/>
    </xf>
    <xf numFmtId="0" fontId="8" fillId="3" borderId="15" xfId="0" applyFont="1" applyFill="1" applyBorder="1" applyAlignment="1" applyProtection="1">
      <alignment horizontal="center"/>
    </xf>
    <xf numFmtId="0" fontId="9" fillId="4" borderId="4" xfId="0" applyFont="1" applyFill="1" applyBorder="1" applyProtection="1"/>
    <xf numFmtId="0" fontId="12" fillId="2" borderId="6" xfId="0" applyFont="1" applyFill="1" applyBorder="1" applyAlignment="1" applyProtection="1">
      <alignment horizontal="center"/>
      <protection locked="0"/>
    </xf>
    <xf numFmtId="0" fontId="9" fillId="4" borderId="7" xfId="0" applyFont="1" applyFill="1" applyBorder="1" applyProtection="1"/>
    <xf numFmtId="0" fontId="12" fillId="2" borderId="8" xfId="0" applyFont="1" applyFill="1" applyBorder="1" applyAlignment="1" applyProtection="1">
      <alignment horizontal="center"/>
      <protection locked="0"/>
    </xf>
    <xf numFmtId="1" fontId="9" fillId="4" borderId="8" xfId="0" applyNumberFormat="1" applyFont="1" applyFill="1" applyBorder="1" applyAlignment="1" applyProtection="1">
      <alignment horizontal="center"/>
    </xf>
    <xf numFmtId="9" fontId="12" fillId="2" borderId="8" xfId="2" applyFont="1" applyFill="1" applyBorder="1" applyAlignment="1" applyProtection="1">
      <alignment horizontal="center"/>
      <protection locked="0"/>
    </xf>
    <xf numFmtId="166" fontId="12" fillId="2" borderId="8" xfId="0" applyNumberFormat="1" applyFont="1" applyFill="1" applyBorder="1" applyAlignment="1" applyProtection="1">
      <alignment horizontal="center"/>
      <protection locked="0"/>
    </xf>
    <xf numFmtId="0" fontId="12" fillId="2" borderId="8" xfId="0" applyNumberFormat="1" applyFont="1" applyFill="1" applyBorder="1" applyAlignment="1" applyProtection="1">
      <alignment horizontal="center"/>
      <protection locked="0"/>
    </xf>
    <xf numFmtId="0" fontId="9" fillId="4" borderId="9" xfId="0" applyFont="1" applyFill="1" applyBorder="1" applyProtection="1"/>
    <xf numFmtId="0" fontId="0" fillId="3" borderId="0" xfId="0" applyFont="1" applyFill="1" applyProtection="1"/>
    <xf numFmtId="0" fontId="0" fillId="3" borderId="0" xfId="0" applyFont="1" applyFill="1" applyAlignment="1" applyProtection="1">
      <alignment horizontal="center"/>
    </xf>
    <xf numFmtId="0" fontId="8" fillId="3" borderId="17" xfId="0" applyFont="1" applyFill="1" applyBorder="1" applyAlignment="1" applyProtection="1">
      <alignment horizontal="center"/>
    </xf>
    <xf numFmtId="0" fontId="19" fillId="3" borderId="0" xfId="0" applyFont="1" applyFill="1" applyBorder="1" applyProtection="1"/>
    <xf numFmtId="0" fontId="13" fillId="3" borderId="14" xfId="0" applyFont="1" applyFill="1" applyBorder="1" applyAlignment="1" applyProtection="1">
      <alignment horizontal="center"/>
    </xf>
    <xf numFmtId="0" fontId="8" fillId="3" borderId="14" xfId="0" applyFont="1" applyFill="1" applyBorder="1" applyProtection="1"/>
    <xf numFmtId="0" fontId="8" fillId="3" borderId="14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/>
    </xf>
    <xf numFmtId="0" fontId="9" fillId="4" borderId="19" xfId="0" applyFont="1" applyFill="1" applyBorder="1" applyProtection="1"/>
    <xf numFmtId="0" fontId="16" fillId="4" borderId="19" xfId="0" applyFont="1" applyFill="1" applyBorder="1" applyProtection="1"/>
    <xf numFmtId="0" fontId="8" fillId="3" borderId="15" xfId="0" applyFont="1" applyFill="1" applyBorder="1" applyProtection="1"/>
    <xf numFmtId="0" fontId="9" fillId="4" borderId="8" xfId="0" applyFont="1" applyFill="1" applyBorder="1" applyProtection="1"/>
    <xf numFmtId="0" fontId="8" fillId="3" borderId="15" xfId="0" applyFont="1" applyFill="1" applyBorder="1" applyAlignment="1" applyProtection="1">
      <alignment horizontal="center" vertical="center"/>
    </xf>
    <xf numFmtId="165" fontId="9" fillId="4" borderId="19" xfId="0" applyNumberFormat="1" applyFont="1" applyFill="1" applyBorder="1" applyAlignment="1" applyProtection="1">
      <alignment horizontal="center"/>
    </xf>
    <xf numFmtId="165" fontId="8" fillId="3" borderId="0" xfId="0" applyNumberFormat="1" applyFont="1" applyFill="1" applyBorder="1" applyProtection="1"/>
    <xf numFmtId="0" fontId="20" fillId="3" borderId="0" xfId="0" applyFont="1" applyFill="1" applyBorder="1" applyAlignment="1" applyProtection="1"/>
    <xf numFmtId="0" fontId="8" fillId="0" borderId="14" xfId="0" applyFont="1" applyFill="1" applyBorder="1" applyAlignment="1" applyProtection="1">
      <alignment horizontal="center"/>
    </xf>
    <xf numFmtId="0" fontId="9" fillId="4" borderId="1" xfId="0" applyFont="1" applyFill="1" applyBorder="1" applyAlignment="1" applyProtection="1">
      <alignment horizontal="left"/>
    </xf>
    <xf numFmtId="0" fontId="16" fillId="4" borderId="8" xfId="0" applyFont="1" applyFill="1" applyBorder="1" applyProtection="1"/>
    <xf numFmtId="165" fontId="9" fillId="4" borderId="16" xfId="0" applyNumberFormat="1" applyFont="1" applyFill="1" applyBorder="1" applyAlignment="1" applyProtection="1">
      <alignment horizontal="center"/>
    </xf>
    <xf numFmtId="0" fontId="20" fillId="3" borderId="15" xfId="0" applyFont="1" applyFill="1" applyBorder="1" applyAlignment="1" applyProtection="1">
      <alignment horizontal="center"/>
    </xf>
    <xf numFmtId="165" fontId="9" fillId="4" borderId="3" xfId="0" applyNumberFormat="1" applyFont="1" applyFill="1" applyBorder="1" applyAlignment="1" applyProtection="1">
      <alignment horizontal="center"/>
    </xf>
    <xf numFmtId="165" fontId="9" fillId="4" borderId="3" xfId="0" applyNumberFormat="1" applyFont="1" applyFill="1" applyBorder="1" applyAlignment="1" applyProtection="1">
      <alignment horizontal="left"/>
    </xf>
    <xf numFmtId="0" fontId="13" fillId="3" borderId="0" xfId="0" applyFont="1" applyFill="1" applyProtection="1"/>
    <xf numFmtId="0" fontId="14" fillId="3" borderId="0" xfId="0" applyFont="1" applyFill="1" applyProtection="1"/>
    <xf numFmtId="17" fontId="21" fillId="4" borderId="4" xfId="0" applyNumberFormat="1" applyFont="1" applyFill="1" applyBorder="1" applyAlignment="1" applyProtection="1"/>
    <xf numFmtId="17" fontId="9" fillId="4" borderId="9" xfId="0" applyNumberFormat="1" applyFont="1" applyFill="1" applyBorder="1" applyAlignment="1" applyProtection="1">
      <alignment horizontal="center"/>
    </xf>
    <xf numFmtId="0" fontId="11" fillId="3" borderId="4" xfId="0" applyFont="1" applyFill="1" applyBorder="1" applyProtection="1"/>
    <xf numFmtId="0" fontId="11" fillId="3" borderId="6" xfId="0" applyFont="1" applyFill="1" applyBorder="1" applyProtection="1"/>
    <xf numFmtId="0" fontId="8" fillId="3" borderId="4" xfId="0" applyFont="1" applyFill="1" applyBorder="1" applyAlignment="1" applyProtection="1">
      <alignment horizontal="center"/>
    </xf>
    <xf numFmtId="0" fontId="13" fillId="3" borderId="7" xfId="0" applyFont="1" applyFill="1" applyBorder="1" applyAlignment="1" applyProtection="1">
      <alignment horizontal="center"/>
    </xf>
    <xf numFmtId="0" fontId="13" fillId="3" borderId="8" xfId="0" applyFont="1" applyFill="1" applyBorder="1" applyAlignment="1" applyProtection="1">
      <alignment horizontal="center"/>
    </xf>
    <xf numFmtId="0" fontId="8" fillId="3" borderId="8" xfId="0" applyFont="1" applyFill="1" applyBorder="1" applyProtection="1"/>
    <xf numFmtId="0" fontId="8" fillId="3" borderId="7" xfId="0" applyFont="1" applyFill="1" applyBorder="1" applyAlignment="1" applyProtection="1">
      <alignment horizontal="center"/>
    </xf>
    <xf numFmtId="4" fontId="12" fillId="2" borderId="7" xfId="0" applyNumberFormat="1" applyFont="1" applyFill="1" applyBorder="1" applyAlignment="1" applyProtection="1">
      <alignment horizontal="center"/>
    </xf>
    <xf numFmtId="4" fontId="12" fillId="2" borderId="8" xfId="0" applyNumberFormat="1" applyFont="1" applyFill="1" applyBorder="1" applyAlignment="1" applyProtection="1">
      <alignment horizontal="center"/>
      <protection locked="0"/>
    </xf>
    <xf numFmtId="4" fontId="13" fillId="3" borderId="7" xfId="0" applyNumberFormat="1" applyFont="1" applyFill="1" applyBorder="1" applyAlignment="1" applyProtection="1">
      <alignment horizontal="center"/>
    </xf>
    <xf numFmtId="4" fontId="12" fillId="3" borderId="8" xfId="0" applyNumberFormat="1" applyFont="1" applyFill="1" applyBorder="1" applyAlignment="1" applyProtection="1">
      <alignment horizontal="center"/>
    </xf>
    <xf numFmtId="0" fontId="13" fillId="3" borderId="8" xfId="0" applyFont="1" applyFill="1" applyBorder="1" applyProtection="1"/>
    <xf numFmtId="0" fontId="11" fillId="3" borderId="7" xfId="0" applyFont="1" applyFill="1" applyBorder="1" applyProtection="1"/>
    <xf numFmtId="0" fontId="11" fillId="3" borderId="8" xfId="0" applyFont="1" applyFill="1" applyBorder="1" applyProtection="1"/>
    <xf numFmtId="4" fontId="12" fillId="3" borderId="7" xfId="0" applyNumberFormat="1" applyFont="1" applyFill="1" applyBorder="1" applyAlignment="1" applyProtection="1">
      <alignment horizontal="center"/>
    </xf>
    <xf numFmtId="0" fontId="13" fillId="3" borderId="7" xfId="0" applyFont="1" applyFill="1" applyBorder="1" applyProtection="1"/>
    <xf numFmtId="0" fontId="13" fillId="3" borderId="8" xfId="0" applyFont="1" applyFill="1" applyBorder="1" applyAlignment="1" applyProtection="1">
      <alignment horizontal="left"/>
    </xf>
    <xf numFmtId="0" fontId="8" fillId="3" borderId="8" xfId="0" applyFont="1" applyFill="1" applyBorder="1" applyAlignment="1" applyProtection="1">
      <alignment horizontal="left"/>
    </xf>
    <xf numFmtId="0" fontId="13" fillId="3" borderId="7" xfId="0" applyFont="1" applyFill="1" applyBorder="1" applyAlignment="1" applyProtection="1"/>
    <xf numFmtId="0" fontId="13" fillId="3" borderId="8" xfId="0" applyFont="1" applyFill="1" applyBorder="1" applyAlignment="1" applyProtection="1"/>
    <xf numFmtId="0" fontId="8" fillId="3" borderId="7" xfId="0" applyFont="1" applyFill="1" applyBorder="1" applyAlignment="1" applyProtection="1"/>
    <xf numFmtId="0" fontId="8" fillId="3" borderId="8" xfId="0" applyFont="1" applyFill="1" applyBorder="1" applyAlignment="1" applyProtection="1"/>
    <xf numFmtId="0" fontId="14" fillId="3" borderId="7" xfId="0" applyFont="1" applyFill="1" applyBorder="1" applyAlignment="1" applyProtection="1">
      <alignment horizontal="center"/>
    </xf>
    <xf numFmtId="10" fontId="12" fillId="2" borderId="7" xfId="2" applyNumberFormat="1" applyFont="1" applyFill="1" applyBorder="1" applyAlignment="1" applyProtection="1">
      <alignment horizontal="center"/>
    </xf>
    <xf numFmtId="10" fontId="12" fillId="2" borderId="8" xfId="2" applyNumberFormat="1" applyFont="1" applyFill="1" applyBorder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horizontal="center"/>
    </xf>
    <xf numFmtId="10" fontId="12" fillId="2" borderId="9" xfId="2" applyNumberFormat="1" applyFont="1" applyFill="1" applyBorder="1" applyAlignment="1" applyProtection="1">
      <alignment horizontal="center"/>
    </xf>
    <xf numFmtId="10" fontId="12" fillId="2" borderId="10" xfId="2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8" fillId="3" borderId="0" xfId="0" applyFont="1" applyFill="1" applyAlignment="1" applyProtection="1">
      <alignment wrapText="1"/>
    </xf>
    <xf numFmtId="0" fontId="22" fillId="3" borderId="0" xfId="0" applyFont="1" applyFill="1" applyAlignment="1" applyProtection="1"/>
    <xf numFmtId="0" fontId="23" fillId="3" borderId="7" xfId="0" applyFont="1" applyFill="1" applyBorder="1" applyProtection="1"/>
    <xf numFmtId="0" fontId="13" fillId="3" borderId="0" xfId="0" applyFont="1" applyFill="1" applyBorder="1" applyProtection="1"/>
    <xf numFmtId="0" fontId="13" fillId="3" borderId="20" xfId="0" applyFont="1" applyFill="1" applyBorder="1" applyAlignment="1" applyProtection="1">
      <alignment horizontal="center" wrapText="1"/>
    </xf>
    <xf numFmtId="1" fontId="12" fillId="3" borderId="22" xfId="0" applyNumberFormat="1" applyFont="1" applyFill="1" applyBorder="1" applyAlignment="1" applyProtection="1">
      <alignment horizontal="center" wrapText="1"/>
    </xf>
    <xf numFmtId="1" fontId="12" fillId="2" borderId="0" xfId="0" applyNumberFormat="1" applyFont="1" applyFill="1" applyBorder="1" applyAlignment="1" applyProtection="1">
      <alignment horizontal="center"/>
      <protection locked="0"/>
    </xf>
    <xf numFmtId="167" fontId="12" fillId="2" borderId="0" xfId="0" applyNumberFormat="1" applyFont="1" applyFill="1" applyBorder="1" applyAlignment="1" applyProtection="1">
      <alignment horizontal="center" wrapText="1"/>
      <protection locked="0"/>
    </xf>
    <xf numFmtId="0" fontId="11" fillId="2" borderId="5" xfId="0" applyFont="1" applyFill="1" applyBorder="1" applyAlignment="1" applyProtection="1">
      <alignment horizontal="center"/>
      <protection locked="0"/>
    </xf>
    <xf numFmtId="167" fontId="11" fillId="2" borderId="5" xfId="0" applyNumberFormat="1" applyFont="1" applyFill="1" applyBorder="1" applyAlignment="1" applyProtection="1">
      <alignment horizontal="center"/>
      <protection locked="0"/>
    </xf>
    <xf numFmtId="1" fontId="12" fillId="3" borderId="20" xfId="0" applyNumberFormat="1" applyFont="1" applyFill="1" applyBorder="1" applyAlignment="1" applyProtection="1">
      <alignment horizontal="center" wrapText="1"/>
    </xf>
    <xf numFmtId="167" fontId="12" fillId="2" borderId="0" xfId="0" applyNumberFormat="1" applyFont="1" applyFill="1" applyBorder="1" applyAlignment="1" applyProtection="1">
      <alignment horizontal="center"/>
      <protection locked="0"/>
    </xf>
    <xf numFmtId="0" fontId="13" fillId="3" borderId="9" xfId="0" applyFont="1" applyFill="1" applyBorder="1" applyProtection="1"/>
    <xf numFmtId="167" fontId="12" fillId="2" borderId="11" xfId="0" applyNumberFormat="1" applyFont="1" applyFill="1" applyBorder="1" applyAlignment="1" applyProtection="1">
      <alignment horizontal="center" wrapText="1"/>
      <protection locked="0"/>
    </xf>
    <xf numFmtId="167" fontId="12" fillId="3" borderId="8" xfId="0" applyNumberFormat="1" applyFont="1" applyFill="1" applyBorder="1" applyAlignment="1" applyProtection="1">
      <alignment horizontal="center" wrapText="1"/>
    </xf>
    <xf numFmtId="0" fontId="20" fillId="3" borderId="7" xfId="0" applyFont="1" applyFill="1" applyBorder="1" applyProtection="1"/>
    <xf numFmtId="167" fontId="12" fillId="2" borderId="8" xfId="0" applyNumberFormat="1" applyFont="1" applyFill="1" applyBorder="1" applyAlignment="1" applyProtection="1">
      <alignment horizontal="center" wrapText="1"/>
      <protection locked="0"/>
    </xf>
    <xf numFmtId="167" fontId="12" fillId="2" borderId="10" xfId="0" applyNumberFormat="1" applyFont="1" applyFill="1" applyBorder="1" applyAlignment="1" applyProtection="1">
      <alignment horizontal="center" wrapText="1"/>
      <protection locked="0"/>
    </xf>
    <xf numFmtId="1" fontId="12" fillId="3" borderId="21" xfId="0" applyNumberFormat="1" applyFont="1" applyFill="1" applyBorder="1" applyAlignment="1" applyProtection="1">
      <alignment horizontal="center" wrapText="1"/>
    </xf>
    <xf numFmtId="0" fontId="20" fillId="3" borderId="4" xfId="0" applyFont="1" applyFill="1" applyBorder="1" applyProtection="1"/>
    <xf numFmtId="0" fontId="12" fillId="2" borderId="5" xfId="0" applyFont="1" applyFill="1" applyBorder="1" applyAlignment="1" applyProtection="1">
      <alignment horizontal="center"/>
      <protection locked="0"/>
    </xf>
    <xf numFmtId="167" fontId="12" fillId="2" borderId="6" xfId="0" applyNumberFormat="1" applyFont="1" applyFill="1" applyBorder="1" applyAlignment="1" applyProtection="1">
      <alignment horizontal="center" wrapText="1"/>
      <protection locked="0"/>
    </xf>
    <xf numFmtId="0" fontId="23" fillId="3" borderId="0" xfId="0" applyFont="1" applyFill="1" applyBorder="1" applyAlignment="1" applyProtection="1">
      <alignment horizontal="center"/>
    </xf>
    <xf numFmtId="0" fontId="12" fillId="3" borderId="0" xfId="0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/>
    </xf>
    <xf numFmtId="0" fontId="11" fillId="2" borderId="10" xfId="0" applyFont="1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 applyProtection="1">
      <alignment horizontal="center"/>
    </xf>
    <xf numFmtId="0" fontId="9" fillId="4" borderId="1" xfId="0" applyFont="1" applyFill="1" applyBorder="1" applyAlignment="1" applyProtection="1">
      <alignment horizontal="center" wrapText="1"/>
    </xf>
    <xf numFmtId="0" fontId="9" fillId="4" borderId="2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wrapText="1"/>
    </xf>
    <xf numFmtId="0" fontId="8" fillId="3" borderId="4" xfId="0" applyFont="1" applyFill="1" applyBorder="1" applyProtection="1"/>
    <xf numFmtId="0" fontId="11" fillId="3" borderId="6" xfId="0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left" wrapText="1" indent="2"/>
    </xf>
    <xf numFmtId="2" fontId="8" fillId="3" borderId="8" xfId="0" applyNumberFormat="1" applyFont="1" applyFill="1" applyBorder="1" applyAlignment="1" applyProtection="1">
      <alignment horizontal="center"/>
    </xf>
    <xf numFmtId="0" fontId="13" fillId="3" borderId="0" xfId="0" applyFont="1" applyFill="1" applyBorder="1" applyAlignment="1" applyProtection="1">
      <alignment horizontal="center" wrapText="1"/>
    </xf>
    <xf numFmtId="0" fontId="11" fillId="3" borderId="8" xfId="0" applyFont="1" applyFill="1" applyBorder="1" applyAlignment="1" applyProtection="1">
      <alignment horizontal="center"/>
    </xf>
    <xf numFmtId="0" fontId="25" fillId="3" borderId="0" xfId="0" applyFont="1" applyFill="1" applyBorder="1" applyAlignment="1" applyProtection="1">
      <alignment horizontal="center" wrapText="1"/>
    </xf>
    <xf numFmtId="2" fontId="8" fillId="3" borderId="0" xfId="0" applyNumberFormat="1" applyFont="1" applyFill="1" applyBorder="1" applyAlignment="1" applyProtection="1">
      <alignment horizontal="center" wrapText="1"/>
    </xf>
    <xf numFmtId="2" fontId="11" fillId="3" borderId="8" xfId="0" applyNumberFormat="1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/>
      <protection locked="0"/>
    </xf>
    <xf numFmtId="0" fontId="14" fillId="3" borderId="0" xfId="0" applyFont="1" applyFill="1" applyBorder="1" applyAlignment="1" applyProtection="1">
      <alignment horizontal="center" wrapText="1"/>
    </xf>
    <xf numFmtId="2" fontId="8" fillId="3" borderId="10" xfId="0" applyNumberFormat="1" applyFont="1" applyFill="1" applyBorder="1" applyAlignment="1" applyProtection="1">
      <alignment horizontal="center"/>
    </xf>
    <xf numFmtId="0" fontId="11" fillId="3" borderId="11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/>
    <xf numFmtId="0" fontId="8" fillId="3" borderId="5" xfId="0" applyFont="1" applyFill="1" applyBorder="1" applyAlignment="1" applyProtection="1"/>
    <xf numFmtId="0" fontId="8" fillId="3" borderId="9" xfId="0" applyFont="1" applyFill="1" applyBorder="1" applyAlignment="1" applyProtection="1"/>
    <xf numFmtId="0" fontId="8" fillId="3" borderId="11" xfId="0" applyFont="1" applyFill="1" applyBorder="1" applyAlignment="1" applyProtection="1"/>
    <xf numFmtId="0" fontId="12" fillId="2" borderId="10" xfId="0" applyFont="1" applyFill="1" applyBorder="1" applyAlignment="1" applyProtection="1">
      <alignment horizontal="center"/>
      <protection locked="0"/>
    </xf>
    <xf numFmtId="0" fontId="8" fillId="3" borderId="10" xfId="0" applyFont="1" applyFill="1" applyBorder="1" applyAlignment="1" applyProtection="1">
      <alignment horizontal="center"/>
    </xf>
    <xf numFmtId="0" fontId="10" fillId="3" borderId="0" xfId="0" applyFont="1" applyFill="1" applyProtection="1"/>
    <xf numFmtId="0" fontId="10" fillId="3" borderId="0" xfId="0" applyFont="1" applyFill="1" applyAlignment="1" applyProtection="1">
      <alignment horizontal="center"/>
    </xf>
    <xf numFmtId="0" fontId="8" fillId="3" borderId="6" xfId="0" applyFont="1" applyFill="1" applyBorder="1" applyProtection="1"/>
    <xf numFmtId="0" fontId="13" fillId="3" borderId="0" xfId="0" applyFont="1" applyFill="1" applyBorder="1" applyAlignment="1" applyProtection="1"/>
    <xf numFmtId="0" fontId="11" fillId="2" borderId="7" xfId="0" applyFont="1" applyFill="1" applyBorder="1" applyProtection="1">
      <protection locked="0"/>
    </xf>
    <xf numFmtId="0" fontId="11" fillId="2" borderId="9" xfId="0" applyFont="1" applyFill="1" applyBorder="1" applyProtection="1">
      <protection locked="0"/>
    </xf>
    <xf numFmtId="0" fontId="14" fillId="3" borderId="0" xfId="0" applyFont="1" applyFill="1" applyBorder="1" applyAlignment="1" applyProtection="1">
      <alignment horizontal="left" wrapText="1"/>
    </xf>
    <xf numFmtId="0" fontId="22" fillId="3" borderId="0" xfId="0" applyFont="1" applyFill="1" applyBorder="1" applyAlignment="1" applyProtection="1"/>
    <xf numFmtId="0" fontId="22" fillId="3" borderId="11" xfId="0" applyFont="1" applyFill="1" applyBorder="1" applyAlignment="1" applyProtection="1">
      <alignment horizontal="center"/>
    </xf>
    <xf numFmtId="168" fontId="12" fillId="2" borderId="8" xfId="0" applyNumberFormat="1" applyFont="1" applyFill="1" applyBorder="1" applyAlignment="1" applyProtection="1">
      <alignment horizontal="center"/>
      <protection locked="0"/>
    </xf>
    <xf numFmtId="0" fontId="15" fillId="4" borderId="1" xfId="0" applyFont="1" applyFill="1" applyBorder="1" applyAlignment="1" applyProtection="1">
      <alignment horizontal="center" wrapText="1"/>
    </xf>
    <xf numFmtId="0" fontId="9" fillId="4" borderId="2" xfId="0" applyFont="1" applyFill="1" applyBorder="1" applyAlignment="1" applyProtection="1">
      <alignment horizontal="center" wrapText="1"/>
    </xf>
    <xf numFmtId="0" fontId="8" fillId="3" borderId="4" xfId="0" applyFont="1" applyFill="1" applyBorder="1" applyAlignment="1" applyProtection="1">
      <alignment wrapText="1"/>
    </xf>
    <xf numFmtId="0" fontId="12" fillId="2" borderId="5" xfId="0" applyFont="1" applyFill="1" applyBorder="1" applyAlignment="1" applyProtection="1">
      <alignment horizontal="center" wrapText="1"/>
      <protection locked="0"/>
    </xf>
    <xf numFmtId="9" fontId="12" fillId="2" borderId="0" xfId="0" applyNumberFormat="1" applyFont="1" applyFill="1" applyBorder="1" applyAlignment="1" applyProtection="1">
      <alignment horizontal="center"/>
      <protection locked="0"/>
    </xf>
    <xf numFmtId="165" fontId="8" fillId="3" borderId="6" xfId="0" applyNumberFormat="1" applyFont="1" applyFill="1" applyBorder="1" applyAlignment="1" applyProtection="1">
      <alignment horizontal="center"/>
    </xf>
    <xf numFmtId="0" fontId="12" fillId="2" borderId="7" xfId="0" applyFont="1" applyFill="1" applyBorder="1" applyAlignment="1" applyProtection="1">
      <alignment wrapText="1"/>
      <protection locked="0"/>
    </xf>
    <xf numFmtId="0" fontId="8" fillId="3" borderId="0" xfId="0" applyFont="1" applyFill="1" applyBorder="1" applyAlignment="1" applyProtection="1">
      <alignment horizontal="center" wrapText="1"/>
    </xf>
    <xf numFmtId="165" fontId="8" fillId="3" borderId="8" xfId="0" applyNumberFormat="1" applyFont="1" applyFill="1" applyBorder="1" applyAlignment="1" applyProtection="1">
      <alignment horizontal="center"/>
    </xf>
    <xf numFmtId="0" fontId="12" fillId="2" borderId="7" xfId="0" applyFont="1" applyFill="1" applyBorder="1" applyProtection="1">
      <protection locked="0"/>
    </xf>
    <xf numFmtId="0" fontId="12" fillId="2" borderId="9" xfId="0" applyFont="1" applyFill="1" applyBorder="1" applyProtection="1">
      <protection locked="0"/>
    </xf>
    <xf numFmtId="0" fontId="13" fillId="3" borderId="11" xfId="0" applyFont="1" applyFill="1" applyBorder="1" applyAlignment="1" applyProtection="1">
      <alignment horizontal="center"/>
    </xf>
    <xf numFmtId="9" fontId="12" fillId="2" borderId="11" xfId="0" applyNumberFormat="1" applyFont="1" applyFill="1" applyBorder="1" applyAlignment="1" applyProtection="1">
      <alignment horizontal="center"/>
      <protection locked="0"/>
    </xf>
    <xf numFmtId="0" fontId="15" fillId="4" borderId="1" xfId="0" applyFont="1" applyFill="1" applyBorder="1" applyProtection="1"/>
    <xf numFmtId="0" fontId="15" fillId="4" borderId="2" xfId="0" applyFont="1" applyFill="1" applyBorder="1" applyProtection="1"/>
    <xf numFmtId="9" fontId="11" fillId="2" borderId="0" xfId="2" applyFont="1" applyFill="1" applyBorder="1" applyAlignment="1" applyProtection="1">
      <alignment horizontal="center"/>
      <protection locked="0"/>
    </xf>
    <xf numFmtId="165" fontId="13" fillId="3" borderId="8" xfId="2" applyNumberFormat="1" applyFont="1" applyFill="1" applyBorder="1" applyAlignment="1" applyProtection="1">
      <alignment horizontal="center"/>
    </xf>
    <xf numFmtId="9" fontId="12" fillId="2" borderId="0" xfId="2" applyFont="1" applyFill="1" applyBorder="1" applyAlignment="1" applyProtection="1">
      <alignment horizontal="center"/>
      <protection locked="0"/>
    </xf>
    <xf numFmtId="9" fontId="12" fillId="2" borderId="5" xfId="2" applyFont="1" applyFill="1" applyBorder="1" applyAlignment="1" applyProtection="1">
      <alignment horizontal="center"/>
      <protection locked="0"/>
    </xf>
    <xf numFmtId="165" fontId="8" fillId="3" borderId="6" xfId="0" applyNumberFormat="1" applyFont="1" applyFill="1" applyBorder="1" applyProtection="1"/>
    <xf numFmtId="9" fontId="12" fillId="2" borderId="11" xfId="2" applyFont="1" applyFill="1" applyBorder="1" applyAlignment="1" applyProtection="1">
      <alignment horizontal="center"/>
      <protection locked="0"/>
    </xf>
    <xf numFmtId="165" fontId="8" fillId="3" borderId="10" xfId="0" applyNumberFormat="1" applyFont="1" applyFill="1" applyBorder="1" applyProtection="1"/>
    <xf numFmtId="0" fontId="14" fillId="3" borderId="0" xfId="0" applyFont="1" applyFill="1" applyBorder="1" applyProtection="1"/>
    <xf numFmtId="9" fontId="12" fillId="2" borderId="10" xfId="2" applyFont="1" applyFill="1" applyBorder="1" applyAlignment="1" applyProtection="1">
      <alignment horizontal="center"/>
      <protection locked="0"/>
    </xf>
    <xf numFmtId="0" fontId="12" fillId="3" borderId="5" xfId="0" applyFont="1" applyFill="1" applyBorder="1" applyAlignment="1" applyProtection="1">
      <alignment horizontal="center"/>
    </xf>
    <xf numFmtId="0" fontId="8" fillId="3" borderId="0" xfId="0" applyFont="1" applyFill="1" applyAlignment="1" applyProtection="1">
      <alignment vertical="center" wrapText="1"/>
    </xf>
    <xf numFmtId="0" fontId="8" fillId="3" borderId="0" xfId="0" applyFont="1" applyFill="1" applyAlignment="1" applyProtection="1">
      <alignment horizontal="justify" vertical="center" wrapText="1"/>
    </xf>
    <xf numFmtId="0" fontId="27" fillId="3" borderId="0" xfId="0" applyFont="1" applyFill="1" applyAlignment="1" applyProtection="1">
      <alignment horizontal="justify" vertical="center" wrapText="1"/>
    </xf>
    <xf numFmtId="44" fontId="12" fillId="2" borderId="0" xfId="0" applyNumberFormat="1" applyFont="1" applyFill="1" applyBorder="1" applyAlignment="1" applyProtection="1">
      <alignment horizontal="center"/>
      <protection locked="0"/>
    </xf>
    <xf numFmtId="43" fontId="8" fillId="3" borderId="0" xfId="0" applyNumberFormat="1" applyFont="1" applyFill="1" applyProtection="1"/>
    <xf numFmtId="1" fontId="13" fillId="3" borderId="14" xfId="0" applyNumberFormat="1" applyFont="1" applyFill="1" applyBorder="1" applyAlignment="1" applyProtection="1">
      <alignment horizontal="center" vertical="center"/>
    </xf>
    <xf numFmtId="1" fontId="8" fillId="3" borderId="6" xfId="0" applyNumberFormat="1" applyFont="1" applyFill="1" applyBorder="1" applyAlignment="1" applyProtection="1">
      <alignment horizontal="center"/>
    </xf>
    <xf numFmtId="168" fontId="8" fillId="3" borderId="10" xfId="0" applyNumberFormat="1" applyFont="1" applyFill="1" applyBorder="1" applyAlignment="1" applyProtection="1">
      <alignment horizontal="center"/>
    </xf>
    <xf numFmtId="0" fontId="23" fillId="3" borderId="4" xfId="0" applyFont="1" applyFill="1" applyBorder="1" applyProtection="1"/>
    <xf numFmtId="0" fontId="20" fillId="3" borderId="5" xfId="0" applyFont="1" applyFill="1" applyBorder="1" applyAlignment="1" applyProtection="1">
      <alignment horizontal="center"/>
    </xf>
    <xf numFmtId="0" fontId="12" fillId="3" borderId="5" xfId="0" applyFont="1" applyFill="1" applyBorder="1" applyProtection="1"/>
    <xf numFmtId="167" fontId="12" fillId="3" borderId="6" xfId="0" applyNumberFormat="1" applyFont="1" applyFill="1" applyBorder="1" applyAlignment="1" applyProtection="1">
      <alignment horizont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Protection="1"/>
    <xf numFmtId="0" fontId="13" fillId="3" borderId="6" xfId="0" applyFont="1" applyFill="1" applyBorder="1" applyAlignment="1" applyProtection="1">
      <alignment horizontal="center" wrapText="1"/>
    </xf>
    <xf numFmtId="167" fontId="11" fillId="2" borderId="0" xfId="0" applyNumberFormat="1" applyFont="1" applyFill="1" applyBorder="1" applyAlignment="1" applyProtection="1">
      <alignment horizontal="center"/>
      <protection locked="0"/>
    </xf>
    <xf numFmtId="0" fontId="13" fillId="3" borderId="11" xfId="0" applyFont="1" applyFill="1" applyBorder="1" applyProtection="1"/>
    <xf numFmtId="0" fontId="9" fillId="4" borderId="5" xfId="0" applyFont="1" applyFill="1" applyBorder="1" applyAlignment="1" applyProtection="1">
      <alignment horizontal="center" vertical="center"/>
    </xf>
    <xf numFmtId="1" fontId="8" fillId="3" borderId="8" xfId="0" applyNumberFormat="1" applyFont="1" applyFill="1" applyBorder="1" applyAlignment="1" applyProtection="1">
      <alignment horizontal="center"/>
    </xf>
    <xf numFmtId="1" fontId="8" fillId="3" borderId="10" xfId="0" applyNumberFormat="1" applyFont="1" applyFill="1" applyBorder="1" applyAlignment="1" applyProtection="1">
      <alignment horizontal="center"/>
    </xf>
    <xf numFmtId="0" fontId="14" fillId="4" borderId="1" xfId="0" applyFont="1" applyFill="1" applyBorder="1" applyProtection="1"/>
    <xf numFmtId="1" fontId="8" fillId="3" borderId="14" xfId="0" applyNumberFormat="1" applyFont="1" applyFill="1" applyBorder="1" applyAlignment="1" applyProtection="1">
      <alignment horizontal="center"/>
    </xf>
    <xf numFmtId="0" fontId="9" fillId="4" borderId="4" xfId="0" applyFont="1" applyFill="1" applyBorder="1" applyAlignment="1" applyProtection="1">
      <alignment horizontal="center"/>
    </xf>
    <xf numFmtId="0" fontId="15" fillId="4" borderId="5" xfId="0" applyFont="1" applyFill="1" applyBorder="1" applyProtection="1"/>
    <xf numFmtId="9" fontId="12" fillId="2" borderId="6" xfId="2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left"/>
    </xf>
    <xf numFmtId="0" fontId="8" fillId="3" borderId="9" xfId="0" applyFont="1" applyFill="1" applyBorder="1" applyAlignment="1" applyProtection="1">
      <alignment horizontal="left"/>
    </xf>
    <xf numFmtId="0" fontId="8" fillId="3" borderId="11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center"/>
    </xf>
    <xf numFmtId="0" fontId="22" fillId="3" borderId="0" xfId="0" applyFont="1" applyFill="1" applyBorder="1" applyAlignment="1" applyProtection="1">
      <alignment horizontal="center"/>
    </xf>
    <xf numFmtId="0" fontId="8" fillId="3" borderId="11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left"/>
    </xf>
    <xf numFmtId="0" fontId="13" fillId="3" borderId="7" xfId="0" applyFont="1" applyFill="1" applyBorder="1" applyAlignment="1" applyProtection="1">
      <alignment horizontal="left"/>
    </xf>
    <xf numFmtId="0" fontId="9" fillId="4" borderId="5" xfId="0" applyFont="1" applyFill="1" applyBorder="1" applyAlignment="1" applyProtection="1">
      <alignment horizontal="center"/>
    </xf>
    <xf numFmtId="0" fontId="15" fillId="4" borderId="2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0" fontId="22" fillId="3" borderId="0" xfId="0" applyFont="1" applyFill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/>
      <protection locked="0"/>
    </xf>
    <xf numFmtId="0" fontId="12" fillId="2" borderId="11" xfId="0" applyFont="1" applyFill="1" applyBorder="1" applyAlignment="1" applyProtection="1">
      <alignment horizontal="center"/>
      <protection locked="0"/>
    </xf>
    <xf numFmtId="0" fontId="9" fillId="4" borderId="2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 wrapText="1"/>
      <protection locked="0"/>
    </xf>
    <xf numFmtId="0" fontId="13" fillId="3" borderId="9" xfId="0" applyFont="1" applyFill="1" applyBorder="1" applyAlignment="1" applyProtection="1">
      <alignment horizontal="left"/>
    </xf>
    <xf numFmtId="0" fontId="13" fillId="3" borderId="11" xfId="0" applyFont="1" applyFill="1" applyBorder="1" applyAlignment="1" applyProtection="1">
      <alignment horizontal="left"/>
    </xf>
    <xf numFmtId="0" fontId="24" fillId="3" borderId="0" xfId="0" applyFont="1" applyFill="1" applyAlignment="1" applyProtection="1">
      <alignment horizontal="left" wrapText="1"/>
    </xf>
    <xf numFmtId="0" fontId="8" fillId="3" borderId="0" xfId="0" applyFont="1" applyFill="1" applyBorder="1" applyAlignment="1" applyProtection="1">
      <alignment horizontal="left"/>
    </xf>
    <xf numFmtId="0" fontId="8" fillId="3" borderId="7" xfId="0" applyFont="1" applyFill="1" applyBorder="1" applyAlignment="1" applyProtection="1">
      <alignment horizontal="left"/>
    </xf>
    <xf numFmtId="0" fontId="9" fillId="4" borderId="5" xfId="0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left"/>
    </xf>
    <xf numFmtId="0" fontId="11" fillId="3" borderId="8" xfId="0" applyFont="1" applyFill="1" applyBorder="1" applyAlignment="1" applyProtection="1">
      <alignment horizontal="left"/>
    </xf>
    <xf numFmtId="0" fontId="12" fillId="3" borderId="7" xfId="0" applyFont="1" applyFill="1" applyBorder="1" applyAlignment="1" applyProtection="1">
      <alignment horizontal="left"/>
    </xf>
    <xf numFmtId="0" fontId="9" fillId="4" borderId="1" xfId="0" applyFont="1" applyFill="1" applyBorder="1" applyAlignment="1" applyProtection="1">
      <alignment horizontal="center"/>
    </xf>
    <xf numFmtId="0" fontId="9" fillId="4" borderId="3" xfId="0" applyFont="1" applyFill="1" applyBorder="1" applyAlignment="1" applyProtection="1">
      <alignment horizontal="center"/>
    </xf>
    <xf numFmtId="0" fontId="9" fillId="4" borderId="2" xfId="0" applyFont="1" applyFill="1" applyBorder="1" applyAlignment="1" applyProtection="1">
      <alignment horizontal="left"/>
    </xf>
    <xf numFmtId="0" fontId="8" fillId="3" borderId="15" xfId="0" applyFont="1" applyFill="1" applyBorder="1" applyAlignment="1" applyProtection="1">
      <alignment horizontal="left"/>
    </xf>
    <xf numFmtId="0" fontId="19" fillId="3" borderId="0" xfId="0" applyFont="1" applyFill="1" applyBorder="1" applyAlignment="1" applyProtection="1">
      <alignment horizontal="left"/>
    </xf>
    <xf numFmtId="0" fontId="19" fillId="3" borderId="15" xfId="0" applyFont="1" applyFill="1" applyBorder="1" applyAlignment="1" applyProtection="1">
      <alignment horizontal="left"/>
    </xf>
    <xf numFmtId="0" fontId="19" fillId="3" borderId="11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left" vertical="center"/>
    </xf>
    <xf numFmtId="0" fontId="8" fillId="3" borderId="7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8" fillId="3" borderId="4" xfId="0" applyFont="1" applyFill="1" applyBorder="1" applyAlignment="1" applyProtection="1">
      <alignment horizontal="left"/>
    </xf>
    <xf numFmtId="0" fontId="8" fillId="3" borderId="5" xfId="0" applyFont="1" applyFill="1" applyBorder="1" applyAlignment="1" applyProtection="1">
      <alignment horizontal="left"/>
    </xf>
    <xf numFmtId="0" fontId="22" fillId="3" borderId="0" xfId="0" applyFont="1" applyFill="1" applyAlignment="1" applyProtection="1">
      <alignment horizontal="center"/>
    </xf>
    <xf numFmtId="0" fontId="9" fillId="4" borderId="5" xfId="0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horizontal="left"/>
    </xf>
    <xf numFmtId="0" fontId="13" fillId="3" borderId="11" xfId="0" applyFont="1" applyFill="1" applyBorder="1" applyAlignment="1" applyProtection="1">
      <alignment horizontal="left"/>
    </xf>
    <xf numFmtId="0" fontId="20" fillId="3" borderId="0" xfId="0" applyFont="1" applyFill="1" applyBorder="1" applyAlignment="1" applyProtection="1">
      <alignment horizontal="left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left"/>
      <protection locked="0"/>
    </xf>
    <xf numFmtId="0" fontId="8" fillId="3" borderId="9" xfId="0" applyFont="1" applyFill="1" applyBorder="1" applyAlignment="1" applyProtection="1">
      <alignment horizontal="left"/>
    </xf>
    <xf numFmtId="0" fontId="8" fillId="3" borderId="11" xfId="0" applyFont="1" applyFill="1" applyBorder="1" applyAlignment="1" applyProtection="1">
      <alignment horizontal="left"/>
    </xf>
    <xf numFmtId="0" fontId="13" fillId="3" borderId="5" xfId="0" applyFont="1" applyFill="1" applyBorder="1" applyAlignment="1" applyProtection="1">
      <alignment horizontal="left"/>
    </xf>
    <xf numFmtId="0" fontId="24" fillId="3" borderId="5" xfId="0" applyFont="1" applyFill="1" applyBorder="1" applyAlignment="1" applyProtection="1">
      <alignment horizontal="left" wrapText="1"/>
    </xf>
    <xf numFmtId="0" fontId="24" fillId="3" borderId="0" xfId="0" applyFont="1" applyFill="1" applyBorder="1" applyAlignment="1" applyProtection="1">
      <alignment horizontal="left" wrapText="1"/>
    </xf>
    <xf numFmtId="0" fontId="24" fillId="3" borderId="0" xfId="0" applyFont="1" applyFill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center" wrapText="1"/>
      <protection locked="0"/>
    </xf>
    <xf numFmtId="0" fontId="24" fillId="3" borderId="0" xfId="0" applyFont="1" applyFill="1" applyAlignment="1" applyProtection="1">
      <alignment horizontal="left" wrapText="1"/>
    </xf>
    <xf numFmtId="0" fontId="10" fillId="3" borderId="5" xfId="0" applyFont="1" applyFill="1" applyBorder="1" applyAlignment="1" applyProtection="1">
      <alignment horizontal="center" wrapText="1"/>
    </xf>
    <xf numFmtId="0" fontId="9" fillId="4" borderId="2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/>
      <protection locked="0"/>
    </xf>
    <xf numFmtId="0" fontId="12" fillId="2" borderId="11" xfId="0" applyFont="1" applyFill="1" applyBorder="1" applyAlignment="1" applyProtection="1">
      <alignment horizontal="center"/>
      <protection locked="0"/>
    </xf>
    <xf numFmtId="0" fontId="22" fillId="3" borderId="0" xfId="0" applyFont="1" applyFill="1" applyBorder="1" applyAlignment="1" applyProtection="1">
      <alignment horizontal="center"/>
    </xf>
    <xf numFmtId="0" fontId="13" fillId="3" borderId="9" xfId="0" applyFont="1" applyFill="1" applyBorder="1" applyAlignment="1" applyProtection="1">
      <alignment horizontal="left"/>
    </xf>
    <xf numFmtId="0" fontId="13" fillId="3" borderId="7" xfId="0" applyFont="1" applyFill="1" applyBorder="1" applyAlignment="1" applyProtection="1">
      <alignment horizontal="left"/>
    </xf>
    <xf numFmtId="0" fontId="13" fillId="3" borderId="4" xfId="0" applyFont="1" applyFill="1" applyBorder="1" applyAlignment="1" applyProtection="1">
      <alignment horizontal="left"/>
    </xf>
    <xf numFmtId="0" fontId="9" fillId="4" borderId="5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8" fillId="3" borderId="11" xfId="0" applyFont="1" applyFill="1" applyBorder="1" applyAlignment="1" applyProtection="1">
      <alignment horizontal="center"/>
    </xf>
    <xf numFmtId="0" fontId="26" fillId="3" borderId="0" xfId="0" applyFont="1" applyFill="1" applyBorder="1" applyAlignment="1" applyProtection="1">
      <alignment horizontal="center"/>
    </xf>
    <xf numFmtId="0" fontId="15" fillId="4" borderId="2" xfId="0" applyFont="1" applyFill="1" applyBorder="1" applyAlignment="1" applyProtection="1">
      <alignment horizontal="center"/>
    </xf>
    <xf numFmtId="0" fontId="15" fillId="4" borderId="1" xfId="0" applyFont="1" applyFill="1" applyBorder="1" applyAlignment="1" applyProtection="1">
      <alignment horizontal="left"/>
    </xf>
    <xf numFmtId="0" fontId="15" fillId="4" borderId="2" xfId="0" applyFont="1" applyFill="1" applyBorder="1" applyAlignment="1" applyProtection="1">
      <alignment horizontal="left"/>
    </xf>
    <xf numFmtId="0" fontId="9" fillId="4" borderId="1" xfId="0" applyFont="1" applyFill="1" applyBorder="1" applyAlignment="1" applyProtection="1">
      <alignment horizontal="center"/>
    </xf>
    <xf numFmtId="0" fontId="9" fillId="4" borderId="3" xfId="0" applyFont="1" applyFill="1" applyBorder="1" applyAlignment="1" applyProtection="1">
      <alignment horizontal="center"/>
    </xf>
    <xf numFmtId="0" fontId="11" fillId="3" borderId="7" xfId="0" applyFont="1" applyFill="1" applyBorder="1" applyAlignment="1" applyProtection="1">
      <alignment horizontal="left"/>
    </xf>
    <xf numFmtId="0" fontId="11" fillId="3" borderId="8" xfId="0" applyFont="1" applyFill="1" applyBorder="1" applyAlignment="1" applyProtection="1">
      <alignment horizontal="left"/>
    </xf>
    <xf numFmtId="0" fontId="12" fillId="3" borderId="7" xfId="0" applyFont="1" applyFill="1" applyBorder="1" applyAlignment="1" applyProtection="1">
      <alignment horizontal="left"/>
    </xf>
    <xf numFmtId="0" fontId="12" fillId="3" borderId="8" xfId="0" applyFont="1" applyFill="1" applyBorder="1" applyAlignment="1" applyProtection="1">
      <alignment horizontal="left"/>
    </xf>
    <xf numFmtId="0" fontId="11" fillId="3" borderId="9" xfId="0" applyFont="1" applyFill="1" applyBorder="1" applyAlignment="1" applyProtection="1">
      <alignment horizontal="left"/>
    </xf>
    <xf numFmtId="0" fontId="11" fillId="3" borderId="11" xfId="0" applyFont="1" applyFill="1" applyBorder="1" applyAlignment="1" applyProtection="1">
      <alignment horizontal="left"/>
    </xf>
    <xf numFmtId="0" fontId="9" fillId="4" borderId="20" xfId="0" applyFont="1" applyFill="1" applyBorder="1" applyAlignment="1" applyProtection="1">
      <alignment horizontal="center" vertical="center"/>
    </xf>
    <xf numFmtId="0" fontId="9" fillId="4" borderId="21" xfId="0" applyFont="1" applyFill="1" applyBorder="1" applyAlignment="1" applyProtection="1">
      <alignment horizontal="center" vertical="center"/>
    </xf>
    <xf numFmtId="17" fontId="9" fillId="4" borderId="6" xfId="0" applyNumberFormat="1" applyFont="1" applyFill="1" applyBorder="1" applyAlignment="1" applyProtection="1">
      <alignment horizontal="center" vertical="center"/>
    </xf>
    <xf numFmtId="17" fontId="9" fillId="4" borderId="10" xfId="0" applyNumberFormat="1" applyFont="1" applyFill="1" applyBorder="1" applyAlignment="1" applyProtection="1">
      <alignment horizontal="center" vertical="center"/>
    </xf>
    <xf numFmtId="0" fontId="9" fillId="4" borderId="4" xfId="0" applyFont="1" applyFill="1" applyBorder="1" applyAlignment="1" applyProtection="1">
      <alignment horizontal="center" vertical="center"/>
    </xf>
    <xf numFmtId="0" fontId="9" fillId="4" borderId="6" xfId="0" applyFont="1" applyFill="1" applyBorder="1" applyAlignment="1" applyProtection="1">
      <alignment horizontal="center" vertical="center"/>
    </xf>
    <xf numFmtId="0" fontId="9" fillId="4" borderId="9" xfId="0" applyFont="1" applyFill="1" applyBorder="1" applyAlignment="1" applyProtection="1">
      <alignment horizontal="center" vertical="center"/>
    </xf>
    <xf numFmtId="0" fontId="9" fillId="4" borderId="10" xfId="0" applyFont="1" applyFill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horizontal="left"/>
    </xf>
    <xf numFmtId="0" fontId="19" fillId="3" borderId="15" xfId="0" applyFont="1" applyFill="1" applyBorder="1" applyAlignment="1" applyProtection="1">
      <alignment horizontal="left"/>
    </xf>
    <xf numFmtId="0" fontId="19" fillId="3" borderId="11" xfId="0" applyFont="1" applyFill="1" applyBorder="1" applyAlignment="1" applyProtection="1">
      <alignment horizontal="left"/>
    </xf>
    <xf numFmtId="0" fontId="9" fillId="4" borderId="2" xfId="0" applyFont="1" applyFill="1" applyBorder="1" applyAlignment="1" applyProtection="1">
      <alignment horizontal="left"/>
    </xf>
    <xf numFmtId="0" fontId="19" fillId="3" borderId="5" xfId="0" applyFont="1" applyFill="1" applyBorder="1" applyAlignment="1" applyProtection="1">
      <alignment horizontal="left"/>
    </xf>
    <xf numFmtId="0" fontId="19" fillId="3" borderId="13" xfId="0" applyFont="1" applyFill="1" applyBorder="1" applyAlignment="1" applyProtection="1">
      <alignment horizontal="left"/>
    </xf>
    <xf numFmtId="0" fontId="8" fillId="3" borderId="15" xfId="0" applyFont="1" applyFill="1" applyBorder="1" applyAlignment="1" applyProtection="1">
      <alignment horizontal="left"/>
    </xf>
    <xf numFmtId="0" fontId="13" fillId="3" borderId="15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left" vertical="center"/>
    </xf>
    <xf numFmtId="0" fontId="8" fillId="3" borderId="15" xfId="0" applyFont="1" applyFill="1" applyBorder="1" applyAlignment="1" applyProtection="1">
      <alignment horizontal="left" vertical="center"/>
    </xf>
    <xf numFmtId="0" fontId="16" fillId="4" borderId="9" xfId="0" applyFont="1" applyFill="1" applyBorder="1" applyAlignment="1" applyProtection="1">
      <alignment horizontal="right"/>
    </xf>
    <xf numFmtId="0" fontId="16" fillId="4" borderId="11" xfId="0" applyFont="1" applyFill="1" applyBorder="1" applyAlignment="1" applyProtection="1">
      <alignment horizontal="right"/>
    </xf>
    <xf numFmtId="0" fontId="16" fillId="6" borderId="1" xfId="0" applyFont="1" applyFill="1" applyBorder="1" applyAlignment="1" applyProtection="1">
      <alignment horizontal="left"/>
    </xf>
    <xf numFmtId="0" fontId="16" fillId="6" borderId="2" xfId="0" applyFont="1" applyFill="1" applyBorder="1" applyAlignment="1" applyProtection="1">
      <alignment horizontal="left"/>
    </xf>
    <xf numFmtId="4" fontId="8" fillId="3" borderId="14" xfId="0" applyNumberFormat="1" applyFont="1" applyFill="1" applyBorder="1" applyAlignment="1" applyProtection="1">
      <alignment horizontal="center" vertical="center"/>
    </xf>
    <xf numFmtId="1" fontId="8" fillId="3" borderId="0" xfId="0" applyNumberFormat="1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44" fontId="9" fillId="4" borderId="3" xfId="0" applyNumberFormat="1" applyFont="1" applyFill="1" applyBorder="1" applyAlignment="1" applyProtection="1">
      <alignment horizontal="left"/>
    </xf>
    <xf numFmtId="0" fontId="9" fillId="3" borderId="2" xfId="0" applyFont="1" applyFill="1" applyBorder="1" applyAlignment="1" applyProtection="1">
      <alignment horizontal="left"/>
    </xf>
    <xf numFmtId="165" fontId="9" fillId="3" borderId="2" xfId="0" applyNumberFormat="1" applyFont="1" applyFill="1" applyBorder="1" applyAlignment="1" applyProtection="1">
      <alignment horizontal="left"/>
    </xf>
    <xf numFmtId="0" fontId="9" fillId="4" borderId="2" xfId="0" applyFont="1" applyFill="1" applyBorder="1" applyAlignment="1" applyProtection="1"/>
    <xf numFmtId="0" fontId="32" fillId="3" borderId="7" xfId="0" applyFont="1" applyFill="1" applyBorder="1" applyProtection="1"/>
    <xf numFmtId="0" fontId="13" fillId="3" borderId="7" xfId="0" applyFont="1" applyFill="1" applyBorder="1" applyAlignment="1" applyProtection="1">
      <alignment horizontal="left" wrapText="1"/>
    </xf>
    <xf numFmtId="0" fontId="8" fillId="3" borderId="0" xfId="0" applyFont="1" applyFill="1" applyBorder="1" applyAlignment="1" applyProtection="1"/>
    <xf numFmtId="0" fontId="10" fillId="3" borderId="0" xfId="0" applyFont="1" applyFill="1" applyBorder="1" applyAlignment="1" applyProtection="1">
      <alignment horizontal="left"/>
    </xf>
    <xf numFmtId="0" fontId="10" fillId="3" borderId="15" xfId="0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>
      <alignment horizontal="left" vertical="center"/>
    </xf>
    <xf numFmtId="0" fontId="23" fillId="3" borderId="0" xfId="0" applyFont="1" applyFill="1" applyBorder="1" applyAlignment="1" applyProtection="1">
      <alignment horizontal="left"/>
    </xf>
    <xf numFmtId="0" fontId="23" fillId="3" borderId="15" xfId="0" applyFont="1" applyFill="1" applyBorder="1" applyAlignment="1" applyProtection="1">
      <alignment horizontal="left"/>
    </xf>
    <xf numFmtId="0" fontId="10" fillId="3" borderId="15" xfId="0" applyFont="1" applyFill="1" applyBorder="1" applyAlignment="1" applyProtection="1">
      <alignment horizontal="left" vertical="center"/>
    </xf>
    <xf numFmtId="0" fontId="8" fillId="3" borderId="0" xfId="0" applyFont="1" applyFill="1" applyAlignment="1" applyProtection="1">
      <alignment horizontal="left"/>
    </xf>
    <xf numFmtId="165" fontId="9" fillId="4" borderId="11" xfId="0" applyNumberFormat="1" applyFont="1" applyFill="1" applyBorder="1" applyProtection="1"/>
    <xf numFmtId="10" fontId="9" fillId="4" borderId="10" xfId="0" applyNumberFormat="1" applyFont="1" applyFill="1" applyBorder="1" applyAlignment="1" applyProtection="1">
      <alignment horizontal="center"/>
    </xf>
    <xf numFmtId="0" fontId="19" fillId="3" borderId="11" xfId="0" applyFont="1" applyFill="1" applyBorder="1" applyAlignment="1" applyProtection="1">
      <alignment horizontal="right"/>
    </xf>
    <xf numFmtId="0" fontId="9" fillId="3" borderId="2" xfId="0" applyFont="1" applyFill="1" applyBorder="1" applyAlignment="1" applyProtection="1">
      <alignment horizontal="right"/>
    </xf>
    <xf numFmtId="44" fontId="9" fillId="4" borderId="8" xfId="0" applyNumberFormat="1" applyFont="1" applyFill="1" applyBorder="1" applyAlignment="1" applyProtection="1">
      <alignment horizontal="center"/>
    </xf>
    <xf numFmtId="0" fontId="15" fillId="4" borderId="20" xfId="0" applyFont="1" applyFill="1" applyBorder="1" applyAlignment="1" applyProtection="1">
      <alignment vertical="center" wrapText="1"/>
    </xf>
    <xf numFmtId="0" fontId="9" fillId="4" borderId="22" xfId="0" applyFont="1" applyFill="1" applyBorder="1" applyAlignment="1" applyProtection="1">
      <alignment horizontal="center" vertical="center" wrapText="1"/>
    </xf>
    <xf numFmtId="0" fontId="15" fillId="4" borderId="22" xfId="0" applyFont="1" applyFill="1" applyBorder="1" applyAlignment="1" applyProtection="1">
      <alignment horizontal="justify" vertical="center" wrapText="1"/>
    </xf>
    <xf numFmtId="0" fontId="15" fillId="4" borderId="21" xfId="0" applyFont="1" applyFill="1" applyBorder="1" applyAlignment="1" applyProtection="1">
      <alignment horizontal="justify" vertical="center" wrapText="1"/>
    </xf>
    <xf numFmtId="0" fontId="10" fillId="2" borderId="7" xfId="0" applyFont="1" applyFill="1" applyBorder="1" applyAlignment="1" applyProtection="1">
      <alignment wrapText="1"/>
      <protection locked="0"/>
    </xf>
    <xf numFmtId="1" fontId="13" fillId="2" borderId="5" xfId="0" applyNumberFormat="1" applyFont="1" applyFill="1" applyBorder="1" applyAlignment="1" applyProtection="1">
      <alignment horizontal="center"/>
      <protection locked="0"/>
    </xf>
    <xf numFmtId="1" fontId="13" fillId="2" borderId="0" xfId="0" applyNumberFormat="1" applyFont="1" applyFill="1" applyBorder="1" applyAlignment="1" applyProtection="1">
      <alignment horizontal="center"/>
      <protection locked="0"/>
    </xf>
    <xf numFmtId="1" fontId="13" fillId="2" borderId="11" xfId="0" applyNumberFormat="1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0" fontId="11" fillId="2" borderId="8" xfId="0" applyFont="1" applyFill="1" applyBorder="1" applyAlignment="1" applyProtection="1">
      <alignment horizontal="center"/>
      <protection locked="0"/>
    </xf>
    <xf numFmtId="0" fontId="11" fillId="2" borderId="11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protection locked="0"/>
    </xf>
    <xf numFmtId="0" fontId="8" fillId="2" borderId="11" xfId="0" applyFont="1" applyFill="1" applyBorder="1" applyAlignment="1" applyProtection="1"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167" fontId="12" fillId="3" borderId="5" xfId="0" applyNumberFormat="1" applyFont="1" applyFill="1" applyBorder="1" applyAlignment="1" applyProtection="1">
      <alignment horizontal="center" wrapText="1"/>
    </xf>
    <xf numFmtId="0" fontId="12" fillId="3" borderId="0" xfId="0" applyFont="1" applyFill="1" applyBorder="1" applyAlignment="1" applyProtection="1">
      <alignment horizontal="center" wrapText="1"/>
    </xf>
    <xf numFmtId="9" fontId="12" fillId="3" borderId="0" xfId="0" applyNumberFormat="1" applyFont="1" applyFill="1" applyBorder="1" applyAlignment="1" applyProtection="1">
      <alignment horizontal="center"/>
    </xf>
    <xf numFmtId="9" fontId="11" fillId="3" borderId="0" xfId="2" applyFont="1" applyFill="1" applyBorder="1" applyAlignment="1" applyProtection="1">
      <alignment horizontal="center"/>
    </xf>
    <xf numFmtId="9" fontId="12" fillId="3" borderId="0" xfId="2" applyFont="1" applyFill="1" applyBorder="1" applyAlignment="1" applyProtection="1">
      <alignment horizontal="center"/>
    </xf>
    <xf numFmtId="9" fontId="12" fillId="3" borderId="5" xfId="2" applyFont="1" applyFill="1" applyBorder="1" applyAlignment="1" applyProtection="1">
      <alignment horizontal="center"/>
    </xf>
    <xf numFmtId="9" fontId="12" fillId="3" borderId="11" xfId="2" applyFont="1" applyFill="1" applyBorder="1" applyAlignment="1" applyProtection="1">
      <alignment horizontal="center"/>
    </xf>
    <xf numFmtId="0" fontId="13" fillId="2" borderId="8" xfId="0" applyFont="1" applyFill="1" applyBorder="1" applyProtection="1">
      <protection locked="0"/>
    </xf>
    <xf numFmtId="1" fontId="12" fillId="2" borderId="8" xfId="0" applyNumberFormat="1" applyFont="1" applyFill="1" applyBorder="1" applyAlignment="1" applyProtection="1">
      <alignment horizontal="center"/>
      <protection locked="0"/>
    </xf>
    <xf numFmtId="168" fontId="11" fillId="2" borderId="8" xfId="0" applyNumberFormat="1" applyFont="1" applyFill="1" applyBorder="1" applyAlignment="1" applyProtection="1">
      <alignment horizontal="center"/>
      <protection locked="0"/>
    </xf>
    <xf numFmtId="168" fontId="11" fillId="2" borderId="10" xfId="0" applyNumberFormat="1" applyFont="1" applyFill="1" applyBorder="1" applyAlignment="1" applyProtection="1">
      <alignment horizontal="center"/>
      <protection locked="0"/>
    </xf>
    <xf numFmtId="165" fontId="12" fillId="3" borderId="0" xfId="0" applyNumberFormat="1" applyFont="1" applyFill="1" applyBorder="1" applyAlignment="1" applyProtection="1">
      <alignment horizontal="center"/>
    </xf>
    <xf numFmtId="44" fontId="12" fillId="3" borderId="0" xfId="0" applyNumberFormat="1" applyFont="1" applyFill="1" applyBorder="1" applyAlignment="1" applyProtection="1">
      <alignment horizontal="center"/>
    </xf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500"/>
              <a:t>Proporção dos tipos de custo no custo total</a:t>
            </a:r>
          </a:p>
        </c:rich>
      </c:tx>
      <c:layout/>
    </c:title>
    <c:view3D>
      <c:rotX val="30"/>
      <c:perspective val="0"/>
    </c:view3D>
    <c:plotArea>
      <c:layout>
        <c:manualLayout>
          <c:layoutTarget val="inner"/>
          <c:xMode val="edge"/>
          <c:yMode val="edge"/>
          <c:x val="5.3986316563985989E-2"/>
          <c:y val="0.22860083349796329"/>
          <c:w val="0.55980715799646386"/>
          <c:h val="0.67156567794617061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1.9663503600511521E-2"/>
                  <c:y val="-2.8286167199397066E-2"/>
                </c:manualLayout>
              </c:layout>
              <c:showPercent val="1"/>
            </c:dLbl>
            <c:dLbl>
              <c:idx val="1"/>
              <c:layout>
                <c:manualLayout>
                  <c:x val="-7.8980752405949303E-3"/>
                  <c:y val="-2.956109652960049E-2"/>
                </c:manualLayout>
              </c:layout>
              <c:showPercent val="1"/>
            </c:dLbl>
            <c:dLbl>
              <c:idx val="2"/>
              <c:layout>
                <c:manualLayout>
                  <c:x val="7.3294181977252792E-2"/>
                  <c:y val="-2.4253426655001457E-2"/>
                </c:manualLayout>
              </c:layout>
              <c:showPercent val="1"/>
            </c:dLbl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Percent val="1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</c:dLbls>
          <c:cat>
            <c:strRef>
              <c:f>'RESUMO CUSTOS'!$J$12:$J$14</c:f>
              <c:strCache>
                <c:ptCount val="3"/>
                <c:pt idx="0">
                  <c:v>Variáveis</c:v>
                </c:pt>
                <c:pt idx="1">
                  <c:v>Fixos operacionais</c:v>
                </c:pt>
                <c:pt idx="2">
                  <c:v>Renda dos fatores</c:v>
                </c:pt>
              </c:strCache>
            </c:strRef>
          </c:cat>
          <c:val>
            <c:numRef>
              <c:f>'RESUMO CUSTOS'!$K$12:$K$14</c:f>
              <c:numCache>
                <c:formatCode>_("R$ "* #,##0.00_);_("R$ "* \(#,##0.00\);_("R$ "* "-"??_);_(@_)</c:formatCode>
                <c:ptCount val="3"/>
                <c:pt idx="0">
                  <c:v>111499.09236096001</c:v>
                </c:pt>
                <c:pt idx="1">
                  <c:v>23233.601466666667</c:v>
                </c:pt>
                <c:pt idx="2">
                  <c:v>12179.529649607877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500"/>
            </a:pPr>
            <a:r>
              <a:rPr lang="pt-BR" sz="1500"/>
              <a:t>Proporção de cada item no custo total</a:t>
            </a:r>
          </a:p>
        </c:rich>
      </c:tx>
      <c:layout>
        <c:manualLayout>
          <c:xMode val="edge"/>
          <c:yMode val="edge"/>
          <c:x val="0.15247922134733158"/>
          <c:y val="2.7777777777777776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4.9576334208223972E-2"/>
          <c:y val="0.20418088363954506"/>
          <c:w val="0.560737532808399"/>
          <c:h val="0.71807341790609502"/>
        </c:manualLayout>
      </c:layout>
      <c:pie3D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'RESUMO CUSTOS'!$J$21:$J$30</c:f>
              <c:strCache>
                <c:ptCount val="10"/>
                <c:pt idx="0">
                  <c:v>Alimentação</c:v>
                </c:pt>
                <c:pt idx="1">
                  <c:v>Abate e processamento</c:v>
                </c:pt>
                <c:pt idx="2">
                  <c:v>Mão de obra</c:v>
                </c:pt>
                <c:pt idx="3">
                  <c:v>Renda dos fatores</c:v>
                </c:pt>
                <c:pt idx="4">
                  <c:v>Depreciações</c:v>
                </c:pt>
                <c:pt idx="5">
                  <c:v>Manutenções</c:v>
                </c:pt>
                <c:pt idx="6">
                  <c:v>Manejo sanitário</c:v>
                </c:pt>
                <c:pt idx="7">
                  <c:v>Energia e Combustíveis</c:v>
                </c:pt>
                <c:pt idx="8">
                  <c:v>Impostos, taxas e outros</c:v>
                </c:pt>
                <c:pt idx="9">
                  <c:v>Tosquia</c:v>
                </c:pt>
              </c:strCache>
            </c:strRef>
          </c:cat>
          <c:val>
            <c:numRef>
              <c:f>'RESUMO CUSTOS'!$L$21:$L$30</c:f>
              <c:numCache>
                <c:formatCode>0.00%</c:formatCode>
                <c:ptCount val="10"/>
                <c:pt idx="0">
                  <c:v>0.66433633971276451</c:v>
                </c:pt>
                <c:pt idx="1">
                  <c:v>0.30370520489138769</c:v>
                </c:pt>
                <c:pt idx="2">
                  <c:v>9.7969420932705706E-2</c:v>
                </c:pt>
                <c:pt idx="3">
                  <c:v>0.10808165462000034</c:v>
                </c:pt>
                <c:pt idx="4">
                  <c:v>3.7031745979292249E-2</c:v>
                </c:pt>
                <c:pt idx="5">
                  <c:v>3.1377119018246961E-2</c:v>
                </c:pt>
                <c:pt idx="6">
                  <c:v>1.6081631171744451E-2</c:v>
                </c:pt>
                <c:pt idx="7">
                  <c:v>3.3585834288749762E-2</c:v>
                </c:pt>
                <c:pt idx="8">
                  <c:v>1.1536254276496143E-2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dLbls>
            <c:showPercent val="1"/>
            <c:showLeaderLines val="1"/>
          </c:dLbls>
          <c:cat>
            <c:strRef>
              <c:f>'RESUMO CUSTOS'!$J$21:$J$30</c:f>
              <c:strCache>
                <c:ptCount val="10"/>
                <c:pt idx="0">
                  <c:v>Alimentação</c:v>
                </c:pt>
                <c:pt idx="1">
                  <c:v>Abate e processamento</c:v>
                </c:pt>
                <c:pt idx="2">
                  <c:v>Mão de obra</c:v>
                </c:pt>
                <c:pt idx="3">
                  <c:v>Renda dos fatores</c:v>
                </c:pt>
                <c:pt idx="4">
                  <c:v>Depreciações</c:v>
                </c:pt>
                <c:pt idx="5">
                  <c:v>Manutenções</c:v>
                </c:pt>
                <c:pt idx="6">
                  <c:v>Manejo sanitário</c:v>
                </c:pt>
                <c:pt idx="7">
                  <c:v>Energia e Combustíveis</c:v>
                </c:pt>
                <c:pt idx="8">
                  <c:v>Impostos, taxas e outros</c:v>
                </c:pt>
                <c:pt idx="9">
                  <c:v>Tosquia</c:v>
                </c:pt>
              </c:strCache>
            </c:strRef>
          </c:cat>
          <c:val>
            <c:numRef>
              <c:f>'RESUMO CUSTOS'!$L$21:$L$30</c:f>
              <c:numCache>
                <c:formatCode>0.00%</c:formatCode>
                <c:ptCount val="10"/>
                <c:pt idx="0">
                  <c:v>0.66433633971276451</c:v>
                </c:pt>
                <c:pt idx="1">
                  <c:v>0.30370520489138769</c:v>
                </c:pt>
                <c:pt idx="2">
                  <c:v>9.7969420932705706E-2</c:v>
                </c:pt>
                <c:pt idx="3">
                  <c:v>0.10808165462000034</c:v>
                </c:pt>
                <c:pt idx="4">
                  <c:v>3.7031745979292249E-2</c:v>
                </c:pt>
                <c:pt idx="5">
                  <c:v>3.1377119018246961E-2</c:v>
                </c:pt>
                <c:pt idx="6">
                  <c:v>1.6081631171744451E-2</c:v>
                </c:pt>
                <c:pt idx="7">
                  <c:v>3.3585834288749762E-2</c:v>
                </c:pt>
                <c:pt idx="8">
                  <c:v>1.1536254276496143E-2</c:v>
                </c:pt>
                <c:pt idx="9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500"/>
              <a:t>Origem das receitas</a:t>
            </a:r>
          </a:p>
        </c:rich>
      </c:tx>
      <c:layout/>
    </c:title>
    <c:view3D>
      <c:rotX val="30"/>
      <c:perspective val="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4.3517643627879847E-2"/>
                  <c:y val="-2.004693338566324E-2"/>
                </c:manualLayout>
              </c:layout>
              <c:showPercent val="1"/>
            </c:dLbl>
            <c:dLbl>
              <c:idx val="1"/>
              <c:layout>
                <c:manualLayout>
                  <c:x val="-2.5618158841255956E-2"/>
                  <c:y val="-2.004693338566324E-2"/>
                </c:manualLayout>
              </c:layout>
              <c:showPercent val="1"/>
            </c:dLbl>
            <c:dLbl>
              <c:idx val="2"/>
              <c:layout>
                <c:manualLayout>
                  <c:x val="-7.7470010693107758E-2"/>
                  <c:y val="4.8751849943990642E-3"/>
                </c:manualLayout>
              </c:layout>
              <c:showPercent val="1"/>
            </c:dLbl>
            <c:dLbl>
              <c:idx val="3"/>
              <c:layout>
                <c:manualLayout>
                  <c:x val="0.10833245844269467"/>
                  <c:y val="1.3182557787753166E-2"/>
                </c:manualLayout>
              </c:layout>
              <c:showPercent val="1"/>
            </c:dLbl>
            <c:dLbl>
              <c:idx val="5"/>
              <c:layout>
                <c:manualLayout>
                  <c:x val="-0.12922844366676386"/>
                  <c:y val="2.1395082624017792E-2"/>
                </c:manualLayout>
              </c:layout>
              <c:showPercent val="1"/>
            </c:dLbl>
            <c:txPr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Percent val="1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</c:dLbls>
          <c:cat>
            <c:strRef>
              <c:f>LUCRATIVIDADE!$G$41:$G$46</c:f>
              <c:strCache>
                <c:ptCount val="6"/>
                <c:pt idx="0">
                  <c:v>Descarte de reprodutores</c:v>
                </c:pt>
                <c:pt idx="1">
                  <c:v>Cordeiros para abate</c:v>
                </c:pt>
                <c:pt idx="2">
                  <c:v>Animais para reprodução</c:v>
                </c:pt>
                <c:pt idx="3">
                  <c:v>Outros produtos</c:v>
                </c:pt>
                <c:pt idx="4">
                  <c:v>Cortes</c:v>
                </c:pt>
                <c:pt idx="5">
                  <c:v>Embutidos</c:v>
                </c:pt>
              </c:strCache>
            </c:strRef>
          </c:cat>
          <c:val>
            <c:numRef>
              <c:f>LUCRATIVIDADE!$H$41:$H$46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_-* #,##0.00_-;\-* #,##0.00_-;_-* &quot;-&quot;??_-;_-@_-">
                  <c:v>0</c:v>
                </c:pt>
                <c:pt idx="4">
                  <c:v>0.97424892703862664</c:v>
                </c:pt>
                <c:pt idx="5">
                  <c:v>2.575107296137339E-2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2.2544959657820551E-2"/>
          <c:y val="0.13835929387331256"/>
          <c:w val="0.9549100806843589"/>
          <c:h val="0.14399097309098044"/>
        </c:manualLayout>
      </c:layout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pn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pn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jpeg"/><Relationship Id="rId1" Type="http://schemas.openxmlformats.org/officeDocument/2006/relationships/chart" Target="../charts/chart1.xml"/><Relationship Id="rId5" Type="http://schemas.openxmlformats.org/officeDocument/2006/relationships/chart" Target="../charts/chart2.xml"/><Relationship Id="rId4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png"/><Relationship Id="rId1" Type="http://schemas.openxmlformats.org/officeDocument/2006/relationships/image" Target="../media/image6.jpe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10515600</xdr:colOff>
      <xdr:row>0</xdr:row>
      <xdr:rowOff>95250</xdr:rowOff>
    </xdr:from>
    <xdr:to>
      <xdr:col>1</xdr:col>
      <xdr:colOff>10525125</xdr:colOff>
      <xdr:row>5</xdr:row>
      <xdr:rowOff>76200</xdr:rowOff>
    </xdr:to>
    <xdr:pic>
      <xdr:nvPicPr>
        <xdr:cNvPr id="569676" name="Imagem 3" descr="fmvz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25175" y="95250"/>
          <a:ext cx="95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1962150</xdr:colOff>
      <xdr:row>1</xdr:row>
      <xdr:rowOff>28575</xdr:rowOff>
    </xdr:from>
    <xdr:to>
      <xdr:col>1</xdr:col>
      <xdr:colOff>10210800</xdr:colOff>
      <xdr:row>5</xdr:row>
      <xdr:rowOff>171450</xdr:rowOff>
    </xdr:to>
    <xdr:pic>
      <xdr:nvPicPr>
        <xdr:cNvPr id="569677" name="Imagem 1" descr="LAE cabeçalh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74900" y="250825"/>
          <a:ext cx="8248650" cy="1031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</xdr:row>
      <xdr:rowOff>47625</xdr:rowOff>
    </xdr:from>
    <xdr:to>
      <xdr:col>1</xdr:col>
      <xdr:colOff>1695450</xdr:colOff>
      <xdr:row>5</xdr:row>
      <xdr:rowOff>47625</xdr:rowOff>
    </xdr:to>
    <xdr:pic>
      <xdr:nvPicPr>
        <xdr:cNvPr id="569678" name="Imagem 2" descr="USP_logotipo,_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0375" y="492125"/>
          <a:ext cx="16478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10506075</xdr:colOff>
      <xdr:row>0</xdr:row>
      <xdr:rowOff>152400</xdr:rowOff>
    </xdr:from>
    <xdr:to>
      <xdr:col>1</xdr:col>
      <xdr:colOff>11753850</xdr:colOff>
      <xdr:row>6</xdr:row>
      <xdr:rowOff>85725</xdr:rowOff>
    </xdr:to>
    <xdr:pic>
      <xdr:nvPicPr>
        <xdr:cNvPr id="569679" name="Imagem 3" descr="fmvz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15650" y="152400"/>
          <a:ext cx="124777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1685925</xdr:colOff>
      <xdr:row>2</xdr:row>
      <xdr:rowOff>0</xdr:rowOff>
    </xdr:from>
    <xdr:to>
      <xdr:col>5</xdr:col>
      <xdr:colOff>609600</xdr:colOff>
      <xdr:row>5</xdr:row>
      <xdr:rowOff>0</xdr:rowOff>
    </xdr:to>
    <xdr:pic>
      <xdr:nvPicPr>
        <xdr:cNvPr id="16093" name="Imagem 1" descr="LAE cabeçalh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85925" y="438150"/>
          <a:ext cx="53340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2</xdr:row>
      <xdr:rowOff>133350</xdr:rowOff>
    </xdr:from>
    <xdr:to>
      <xdr:col>1</xdr:col>
      <xdr:colOff>1228725</xdr:colOff>
      <xdr:row>4</xdr:row>
      <xdr:rowOff>142875</xdr:rowOff>
    </xdr:to>
    <xdr:pic>
      <xdr:nvPicPr>
        <xdr:cNvPr id="16094" name="Imagem 2" descr="USP_logotipo,_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571500"/>
          <a:ext cx="11144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1047750</xdr:colOff>
      <xdr:row>1</xdr:row>
      <xdr:rowOff>76200</xdr:rowOff>
    </xdr:from>
    <xdr:to>
      <xdr:col>6</xdr:col>
      <xdr:colOff>40902</xdr:colOff>
      <xdr:row>5</xdr:row>
      <xdr:rowOff>142875</xdr:rowOff>
    </xdr:to>
    <xdr:pic>
      <xdr:nvPicPr>
        <xdr:cNvPr id="16095" name="Imagem 3" descr="fmvz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58075" y="295275"/>
          <a:ext cx="9429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</xdr:row>
      <xdr:rowOff>38100</xdr:rowOff>
    </xdr:from>
    <xdr:to>
      <xdr:col>5</xdr:col>
      <xdr:colOff>1095375</xdr:colOff>
      <xdr:row>4</xdr:row>
      <xdr:rowOff>47625</xdr:rowOff>
    </xdr:to>
    <xdr:pic>
      <xdr:nvPicPr>
        <xdr:cNvPr id="3316" name="Imagem 1" descr="LAE cabeçalh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0" y="257175"/>
          <a:ext cx="53149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1</xdr:row>
      <xdr:rowOff>161925</xdr:rowOff>
    </xdr:from>
    <xdr:to>
      <xdr:col>0</xdr:col>
      <xdr:colOff>1476375</xdr:colOff>
      <xdr:row>3</xdr:row>
      <xdr:rowOff>180975</xdr:rowOff>
    </xdr:to>
    <xdr:pic>
      <xdr:nvPicPr>
        <xdr:cNvPr id="3317" name="Imagem 2" descr="USP_logotipo,_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381000"/>
          <a:ext cx="11144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</xdr:colOff>
      <xdr:row>0</xdr:row>
      <xdr:rowOff>123825</xdr:rowOff>
    </xdr:from>
    <xdr:to>
      <xdr:col>7</xdr:col>
      <xdr:colOff>361950</xdr:colOff>
      <xdr:row>4</xdr:row>
      <xdr:rowOff>200025</xdr:rowOff>
    </xdr:to>
    <xdr:pic>
      <xdr:nvPicPr>
        <xdr:cNvPr id="3318" name="Imagem 3" descr="fmvz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43775" y="123825"/>
          <a:ext cx="9429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153520</xdr:colOff>
      <xdr:row>1</xdr:row>
      <xdr:rowOff>166967</xdr:rowOff>
    </xdr:from>
    <xdr:to>
      <xdr:col>9</xdr:col>
      <xdr:colOff>1086970</xdr:colOff>
      <xdr:row>4</xdr:row>
      <xdr:rowOff>127747</xdr:rowOff>
    </xdr:to>
    <xdr:pic>
      <xdr:nvPicPr>
        <xdr:cNvPr id="5" name="Imagem 1" descr="LAE cabeçalh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1285" y="402291"/>
          <a:ext cx="53149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280147</xdr:colOff>
      <xdr:row>2</xdr:row>
      <xdr:rowOff>55469</xdr:rowOff>
    </xdr:from>
    <xdr:to>
      <xdr:col>5</xdr:col>
      <xdr:colOff>442072</xdr:colOff>
      <xdr:row>4</xdr:row>
      <xdr:rowOff>42022</xdr:rowOff>
    </xdr:to>
    <xdr:pic>
      <xdr:nvPicPr>
        <xdr:cNvPr id="6" name="Imagem 2" descr="USP_logotipo,_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735" y="526116"/>
          <a:ext cx="11144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224678</xdr:colOff>
      <xdr:row>1</xdr:row>
      <xdr:rowOff>33617</xdr:rowOff>
    </xdr:from>
    <xdr:to>
      <xdr:col>10</xdr:col>
      <xdr:colOff>1167653</xdr:colOff>
      <xdr:row>5</xdr:row>
      <xdr:rowOff>44823</xdr:rowOff>
    </xdr:to>
    <xdr:pic>
      <xdr:nvPicPr>
        <xdr:cNvPr id="7" name="Imagem 3" descr="fmvz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560" y="268941"/>
          <a:ext cx="9429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8</xdr:col>
      <xdr:colOff>285750</xdr:colOff>
      <xdr:row>18</xdr:row>
      <xdr:rowOff>9525</xdr:rowOff>
    </xdr:to>
    <xdr:graphicFrame macro="">
      <xdr:nvGraphicFramePr>
        <xdr:cNvPr id="57370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257175</xdr:colOff>
      <xdr:row>1</xdr:row>
      <xdr:rowOff>95250</xdr:rowOff>
    </xdr:from>
    <xdr:to>
      <xdr:col>10</xdr:col>
      <xdr:colOff>847725</xdr:colOff>
      <xdr:row>4</xdr:row>
      <xdr:rowOff>104775</xdr:rowOff>
    </xdr:to>
    <xdr:pic>
      <xdr:nvPicPr>
        <xdr:cNvPr id="573705" name="Imagem 2" descr="LAE cabeçalh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43175" y="314325"/>
          <a:ext cx="53149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2</xdr:row>
      <xdr:rowOff>38100</xdr:rowOff>
    </xdr:from>
    <xdr:to>
      <xdr:col>3</xdr:col>
      <xdr:colOff>523875</xdr:colOff>
      <xdr:row>4</xdr:row>
      <xdr:rowOff>57150</xdr:rowOff>
    </xdr:to>
    <xdr:pic>
      <xdr:nvPicPr>
        <xdr:cNvPr id="573706" name="Imagem 3" descr="USP_logotipo,_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476250"/>
          <a:ext cx="11144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1476375</xdr:colOff>
      <xdr:row>0</xdr:row>
      <xdr:rowOff>142875</xdr:rowOff>
    </xdr:from>
    <xdr:to>
      <xdr:col>11</xdr:col>
      <xdr:colOff>771525</xdr:colOff>
      <xdr:row>5</xdr:row>
      <xdr:rowOff>0</xdr:rowOff>
    </xdr:to>
    <xdr:pic>
      <xdr:nvPicPr>
        <xdr:cNvPr id="573707" name="Imagem 4" descr="fmvz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58200" y="142875"/>
          <a:ext cx="9429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447675</xdr:colOff>
      <xdr:row>18</xdr:row>
      <xdr:rowOff>190500</xdr:rowOff>
    </xdr:from>
    <xdr:to>
      <xdr:col>8</xdr:col>
      <xdr:colOff>295275</xdr:colOff>
      <xdr:row>31</xdr:row>
      <xdr:rowOff>66675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942975</xdr:colOff>
      <xdr:row>1</xdr:row>
      <xdr:rowOff>0</xdr:rowOff>
    </xdr:from>
    <xdr:to>
      <xdr:col>6</xdr:col>
      <xdr:colOff>981075</xdr:colOff>
      <xdr:row>4</xdr:row>
      <xdr:rowOff>9525</xdr:rowOff>
    </xdr:to>
    <xdr:pic>
      <xdr:nvPicPr>
        <xdr:cNvPr id="105196" name="Imagem 1" descr="LAE cabeçalh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81350" y="219075"/>
          <a:ext cx="5324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1476375</xdr:colOff>
      <xdr:row>1</xdr:row>
      <xdr:rowOff>133350</xdr:rowOff>
    </xdr:from>
    <xdr:to>
      <xdr:col>2</xdr:col>
      <xdr:colOff>723900</xdr:colOff>
      <xdr:row>3</xdr:row>
      <xdr:rowOff>152400</xdr:rowOff>
    </xdr:to>
    <xdr:pic>
      <xdr:nvPicPr>
        <xdr:cNvPr id="105197" name="Imagem 2" descr="USP_logotipo,_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47850" y="352425"/>
          <a:ext cx="11144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1409700</xdr:colOff>
      <xdr:row>0</xdr:row>
      <xdr:rowOff>76200</xdr:rowOff>
    </xdr:from>
    <xdr:to>
      <xdr:col>7</xdr:col>
      <xdr:colOff>304800</xdr:colOff>
      <xdr:row>4</xdr:row>
      <xdr:rowOff>152400</xdr:rowOff>
    </xdr:to>
    <xdr:pic>
      <xdr:nvPicPr>
        <xdr:cNvPr id="105198" name="Imagem 3" descr="fmvz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934450" y="76200"/>
          <a:ext cx="9429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174625</xdr:colOff>
      <xdr:row>35</xdr:row>
      <xdr:rowOff>79375</xdr:rowOff>
    </xdr:from>
    <xdr:to>
      <xdr:col>9</xdr:col>
      <xdr:colOff>412750</xdr:colOff>
      <xdr:row>49</xdr:row>
      <xdr:rowOff>190500</xdr:rowOff>
    </xdr:to>
    <xdr:graphicFrame macro="">
      <xdr:nvGraphicFramePr>
        <xdr:cNvPr id="10519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B24"/>
  <sheetViews>
    <sheetView tabSelected="1" zoomScale="85" zoomScaleNormal="85" workbookViewId="0">
      <selection activeCell="B7" sqref="B7"/>
    </sheetView>
  </sheetViews>
  <sheetFormatPr defaultRowHeight="17.25"/>
  <cols>
    <col min="1" max="1" width="6.140625" style="216" customWidth="1"/>
    <col min="2" max="2" width="177.42578125" style="216" customWidth="1"/>
    <col min="3" max="16384" width="9.140625" style="216"/>
  </cols>
  <sheetData>
    <row r="8" spans="2:2" ht="18" thickBot="1"/>
    <row r="9" spans="2:2">
      <c r="B9" s="365"/>
    </row>
    <row r="10" spans="2:2">
      <c r="B10" s="366" t="s">
        <v>556</v>
      </c>
    </row>
    <row r="11" spans="2:2">
      <c r="B11" s="367"/>
    </row>
    <row r="12" spans="2:2">
      <c r="B12" s="366" t="s">
        <v>0</v>
      </c>
    </row>
    <row r="13" spans="2:2">
      <c r="B13" s="366" t="s">
        <v>1</v>
      </c>
    </row>
    <row r="14" spans="2:2">
      <c r="B14" s="366" t="s">
        <v>357</v>
      </c>
    </row>
    <row r="15" spans="2:2" ht="18" thickBot="1">
      <c r="B15" s="368"/>
    </row>
    <row r="16" spans="2:2">
      <c r="B16" s="217"/>
    </row>
    <row r="17" spans="2:2">
      <c r="B17" s="218"/>
    </row>
    <row r="18" spans="2:2">
      <c r="B18" s="217"/>
    </row>
    <row r="19" spans="2:2">
      <c r="B19" s="217"/>
    </row>
    <row r="20" spans="2:2">
      <c r="B20" s="218"/>
    </row>
    <row r="21" spans="2:2">
      <c r="B21" s="217"/>
    </row>
    <row r="22" spans="2:2">
      <c r="B22" s="218"/>
    </row>
    <row r="23" spans="2:2">
      <c r="B23" s="217"/>
    </row>
    <row r="24" spans="2:2">
      <c r="B24" s="217"/>
    </row>
  </sheetData>
  <sheetProtection password="D2B3" sheet="1" objects="1" scenarios="1" selectLockedCells="1" selectUnlockedCells="1"/>
  <pageMargins left="0.51" right="0.51" top="0.79" bottom="0.79" header="0.31" footer="0.31"/>
  <pageSetup paperSize="9" scale="83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7:L290"/>
  <sheetViews>
    <sheetView zoomScale="85" zoomScaleNormal="85" workbookViewId="0">
      <selection activeCell="E18" sqref="E18"/>
    </sheetView>
  </sheetViews>
  <sheetFormatPr defaultRowHeight="17.25"/>
  <cols>
    <col min="1" max="1" width="1.7109375" style="1" customWidth="1"/>
    <col min="2" max="2" width="26" style="1" customWidth="1"/>
    <col min="3" max="3" width="12" style="2" customWidth="1"/>
    <col min="4" max="4" width="16.140625" style="2" customWidth="1"/>
    <col min="5" max="5" width="42" style="1" customWidth="1"/>
    <col min="6" max="6" width="29.28515625" style="1" customWidth="1"/>
    <col min="7" max="7" width="23.140625" style="1" customWidth="1"/>
    <col min="8" max="8" width="27.5703125" style="1" customWidth="1"/>
    <col min="9" max="9" width="1.7109375" style="1" customWidth="1"/>
    <col min="10" max="10" width="19.42578125" style="1" customWidth="1"/>
    <col min="11" max="11" width="9.140625" style="1"/>
    <col min="12" max="12" width="11" style="1" customWidth="1"/>
    <col min="13" max="16384" width="9.140625" style="1"/>
  </cols>
  <sheetData>
    <row r="7" spans="2:12">
      <c r="B7" s="280" t="s">
        <v>2</v>
      </c>
      <c r="C7" s="280"/>
      <c r="D7" s="280"/>
      <c r="E7" s="280"/>
      <c r="F7" s="280"/>
      <c r="G7" s="130"/>
    </row>
    <row r="8" spans="2:12" ht="9.9499999999999993" customHeight="1" thickBot="1"/>
    <row r="9" spans="2:12" s="129" customFormat="1" ht="35.25" customHeight="1" thickBot="1">
      <c r="B9" s="228" t="s">
        <v>3</v>
      </c>
      <c r="C9" s="281" t="s">
        <v>4</v>
      </c>
      <c r="D9" s="281"/>
      <c r="E9" s="264" t="s">
        <v>5</v>
      </c>
      <c r="F9" s="229" t="s">
        <v>6</v>
      </c>
      <c r="G9" s="230" t="s">
        <v>356</v>
      </c>
      <c r="J9" s="285" t="s">
        <v>7</v>
      </c>
      <c r="K9" s="286"/>
      <c r="L9" s="287"/>
    </row>
    <row r="10" spans="2:12" ht="18" thickBot="1">
      <c r="B10" s="224" t="s">
        <v>491</v>
      </c>
      <c r="C10" s="225"/>
      <c r="D10" s="253"/>
      <c r="E10" s="231"/>
      <c r="F10" s="232"/>
      <c r="G10" s="133"/>
    </row>
    <row r="11" spans="2:12">
      <c r="B11" s="115" t="s">
        <v>9</v>
      </c>
      <c r="C11" s="277" t="s">
        <v>10</v>
      </c>
      <c r="D11" s="277"/>
      <c r="E11" s="171">
        <v>75</v>
      </c>
      <c r="F11" s="233">
        <v>0.01</v>
      </c>
      <c r="G11" s="134">
        <f>(12/'CUSTOS ANUAIS'!$N$18)*E11</f>
        <v>90</v>
      </c>
      <c r="J11" s="278" t="s">
        <v>11</v>
      </c>
      <c r="K11" s="279"/>
      <c r="L11" s="153">
        <f>'CUSTOS ANUAIS'!N21</f>
        <v>75</v>
      </c>
    </row>
    <row r="12" spans="2:12">
      <c r="B12" s="115"/>
      <c r="C12" s="282" t="s">
        <v>12</v>
      </c>
      <c r="D12" s="282"/>
      <c r="E12" s="135">
        <v>0</v>
      </c>
      <c r="F12" s="136">
        <v>0</v>
      </c>
      <c r="G12" s="134">
        <f>(12/'CUSTOS ANUAIS'!$N$18)*E12</f>
        <v>0</v>
      </c>
      <c r="J12" s="276" t="s">
        <v>13</v>
      </c>
      <c r="K12" s="277"/>
      <c r="L12" s="154">
        <f>'CUSTOS ANUAIS'!N23</f>
        <v>140</v>
      </c>
    </row>
    <row r="13" spans="2:12">
      <c r="B13" s="115"/>
      <c r="C13" s="288" t="s">
        <v>514</v>
      </c>
      <c r="D13" s="288"/>
      <c r="E13" s="255">
        <v>0</v>
      </c>
      <c r="F13" s="136">
        <v>0</v>
      </c>
      <c r="G13" s="134">
        <f>(12/'CUSTOS ANUAIS'!$N$18)*E13</f>
        <v>0</v>
      </c>
      <c r="J13" s="276" t="s">
        <v>14</v>
      </c>
      <c r="K13" s="277"/>
      <c r="L13" s="154">
        <v>90</v>
      </c>
    </row>
    <row r="14" spans="2:12">
      <c r="B14" s="115"/>
      <c r="C14" s="288" t="s">
        <v>515</v>
      </c>
      <c r="D14" s="288"/>
      <c r="E14" s="255">
        <v>60</v>
      </c>
      <c r="F14" s="136">
        <v>2</v>
      </c>
      <c r="G14" s="134">
        <f>(12/'CUSTOS ANUAIS'!$N$18)*E14</f>
        <v>72</v>
      </c>
      <c r="H14" s="97"/>
      <c r="I14" s="97"/>
      <c r="J14" s="276" t="s">
        <v>15</v>
      </c>
      <c r="K14" s="277"/>
      <c r="L14" s="154">
        <v>60</v>
      </c>
    </row>
    <row r="15" spans="2:12">
      <c r="B15" s="115"/>
      <c r="C15" s="288" t="s">
        <v>516</v>
      </c>
      <c r="D15" s="288"/>
      <c r="E15" s="255">
        <v>0</v>
      </c>
      <c r="F15" s="136">
        <v>0</v>
      </c>
      <c r="G15" s="134">
        <f>(12/'CUSTOS ANUAIS'!$N$18)*E15</f>
        <v>0</v>
      </c>
      <c r="H15" s="97"/>
      <c r="I15" s="97"/>
      <c r="J15" s="276" t="s">
        <v>16</v>
      </c>
      <c r="K15" s="277"/>
      <c r="L15" s="154">
        <f>L11</f>
        <v>75</v>
      </c>
    </row>
    <row r="16" spans="2:12" ht="18" thickBot="1">
      <c r="B16" s="115"/>
      <c r="C16" s="288" t="s">
        <v>517</v>
      </c>
      <c r="D16" s="288"/>
      <c r="E16" s="255">
        <v>0</v>
      </c>
      <c r="F16" s="136">
        <v>0</v>
      </c>
      <c r="G16" s="134">
        <f>(12/'CUSTOS ANUAIS'!$N$18)*E16</f>
        <v>0</v>
      </c>
      <c r="H16" s="97"/>
      <c r="I16" s="97"/>
      <c r="J16" s="289" t="s">
        <v>17</v>
      </c>
      <c r="K16" s="290"/>
      <c r="L16" s="155">
        <v>60</v>
      </c>
    </row>
    <row r="17" spans="2:12">
      <c r="B17" s="115"/>
      <c r="C17" s="288" t="s">
        <v>518</v>
      </c>
      <c r="D17" s="288"/>
      <c r="E17" s="255">
        <v>0</v>
      </c>
      <c r="F17" s="136">
        <v>0</v>
      </c>
      <c r="G17" s="134">
        <f>(12/'CUSTOS ANUAIS'!$N$18)*E17</f>
        <v>0</v>
      </c>
      <c r="H17" s="97"/>
      <c r="I17" s="97"/>
      <c r="J17" s="262"/>
      <c r="K17" s="262"/>
      <c r="L17" s="156"/>
    </row>
    <row r="18" spans="2:12">
      <c r="B18" s="115"/>
      <c r="C18" s="288" t="s">
        <v>519</v>
      </c>
      <c r="D18" s="288"/>
      <c r="E18" s="255">
        <v>0</v>
      </c>
      <c r="F18" s="136">
        <v>0</v>
      </c>
      <c r="G18" s="134">
        <f>(12/'CUSTOS ANUAIS'!$N$18)*E18</f>
        <v>0</v>
      </c>
      <c r="H18" s="97"/>
      <c r="I18" s="97"/>
      <c r="J18" s="262"/>
      <c r="K18" s="262"/>
      <c r="L18" s="156"/>
    </row>
    <row r="19" spans="2:12">
      <c r="B19" s="115"/>
      <c r="C19" s="288" t="s">
        <v>520</v>
      </c>
      <c r="D19" s="288"/>
      <c r="E19" s="255">
        <v>0</v>
      </c>
      <c r="F19" s="136">
        <v>0</v>
      </c>
      <c r="G19" s="134">
        <f>(12/'CUSTOS ANUAIS'!$N$18)*E19</f>
        <v>0</v>
      </c>
      <c r="H19" s="97"/>
      <c r="I19" s="97"/>
      <c r="J19" s="262"/>
      <c r="K19" s="262"/>
      <c r="L19" s="156"/>
    </row>
    <row r="20" spans="2:12">
      <c r="B20" s="115"/>
      <c r="C20" s="288" t="s">
        <v>521</v>
      </c>
      <c r="D20" s="288"/>
      <c r="E20" s="255">
        <v>0</v>
      </c>
      <c r="F20" s="136">
        <v>0</v>
      </c>
      <c r="G20" s="134">
        <f>(12/'CUSTOS ANUAIS'!$N$18)*E20</f>
        <v>0</v>
      </c>
      <c r="H20" s="97"/>
      <c r="I20" s="97"/>
      <c r="J20" s="262"/>
      <c r="K20" s="262"/>
      <c r="L20" s="156"/>
    </row>
    <row r="21" spans="2:12">
      <c r="B21" s="115"/>
      <c r="C21" s="288" t="s">
        <v>522</v>
      </c>
      <c r="D21" s="288"/>
      <c r="E21" s="255">
        <v>0</v>
      </c>
      <c r="F21" s="136">
        <v>0</v>
      </c>
      <c r="G21" s="134">
        <f>(12/'CUSTOS ANUAIS'!$N$18)*E21</f>
        <v>0</v>
      </c>
      <c r="H21" s="97"/>
      <c r="I21" s="97"/>
      <c r="J21" s="262"/>
      <c r="K21" s="262"/>
      <c r="L21" s="156"/>
    </row>
    <row r="22" spans="2:12" ht="18" thickBot="1">
      <c r="B22" s="115"/>
      <c r="C22" s="282" t="s">
        <v>18</v>
      </c>
      <c r="D22" s="282"/>
      <c r="E22" s="255">
        <v>60</v>
      </c>
      <c r="F22" s="136">
        <v>0.3</v>
      </c>
      <c r="G22" s="134">
        <f>(12/'CUSTOS ANUAIS'!$N$18)*E22</f>
        <v>72</v>
      </c>
      <c r="H22" s="97"/>
      <c r="I22" s="97"/>
      <c r="J22" s="48"/>
      <c r="K22" s="156"/>
    </row>
    <row r="23" spans="2:12">
      <c r="B23" s="224" t="s">
        <v>491</v>
      </c>
      <c r="C23" s="249"/>
      <c r="D23" s="249"/>
      <c r="E23" s="215"/>
      <c r="F23" s="382"/>
      <c r="G23" s="139"/>
      <c r="H23" s="97"/>
      <c r="I23" s="97"/>
      <c r="J23" s="48"/>
      <c r="K23" s="156"/>
    </row>
    <row r="24" spans="2:12">
      <c r="B24" s="115" t="s">
        <v>492</v>
      </c>
      <c r="C24" s="277" t="str">
        <f>$C$11</f>
        <v>Sal mineral</v>
      </c>
      <c r="D24" s="277"/>
      <c r="E24" s="171">
        <v>65</v>
      </c>
      <c r="F24" s="233">
        <v>1.4999999999999999E-2</v>
      </c>
      <c r="G24" s="134">
        <f>(12/'CUSTOS ANUAIS'!$N$18)*E24</f>
        <v>78</v>
      </c>
      <c r="H24" s="97"/>
      <c r="I24" s="97"/>
      <c r="J24" s="48"/>
      <c r="K24" s="156"/>
    </row>
    <row r="25" spans="2:12">
      <c r="B25" s="8"/>
      <c r="C25" s="282" t="str">
        <f>$C$12</f>
        <v>Pastagem</v>
      </c>
      <c r="D25" s="282"/>
      <c r="E25" s="255">
        <v>0</v>
      </c>
      <c r="F25" s="140">
        <v>0</v>
      </c>
      <c r="G25" s="134">
        <f>(12/'CUSTOS ANUAIS'!$N$18)*E25</f>
        <v>0</v>
      </c>
    </row>
    <row r="26" spans="2:12">
      <c r="B26" s="115"/>
      <c r="C26" s="282" t="str">
        <f>$C$13</f>
        <v>Volumoso 1</v>
      </c>
      <c r="D26" s="282"/>
      <c r="E26" s="255">
        <v>0</v>
      </c>
      <c r="F26" s="136">
        <v>0</v>
      </c>
      <c r="G26" s="134">
        <f>(12/'CUSTOS ANUAIS'!$N$18)*E26</f>
        <v>0</v>
      </c>
    </row>
    <row r="27" spans="2:12">
      <c r="B27" s="115"/>
      <c r="C27" s="282" t="str">
        <f>$C$14</f>
        <v>Volumoso 2</v>
      </c>
      <c r="D27" s="282"/>
      <c r="E27" s="255">
        <v>65</v>
      </c>
      <c r="F27" s="136">
        <v>2.5</v>
      </c>
      <c r="G27" s="134">
        <f>(12/'CUSTOS ANUAIS'!$N$18)*E27</f>
        <v>78</v>
      </c>
    </row>
    <row r="28" spans="2:12">
      <c r="B28" s="115"/>
      <c r="C28" s="282" t="str">
        <f>$C$15</f>
        <v>Volumoso 3</v>
      </c>
      <c r="D28" s="282"/>
      <c r="E28" s="255">
        <v>0</v>
      </c>
      <c r="F28" s="136">
        <v>0</v>
      </c>
      <c r="G28" s="134">
        <f>(12/'CUSTOS ANUAIS'!$N$18)*E28</f>
        <v>0</v>
      </c>
    </row>
    <row r="29" spans="2:12">
      <c r="B29" s="115"/>
      <c r="C29" s="282" t="str">
        <f>$C$16</f>
        <v>Volumoso 4</v>
      </c>
      <c r="D29" s="282"/>
      <c r="E29" s="255">
        <v>0</v>
      </c>
      <c r="F29" s="136">
        <v>0</v>
      </c>
      <c r="G29" s="134">
        <f>(12/'CUSTOS ANUAIS'!$N$18)*E29</f>
        <v>0</v>
      </c>
    </row>
    <row r="30" spans="2:12">
      <c r="B30" s="115"/>
      <c r="C30" s="282" t="str">
        <f>$C$17</f>
        <v>Volumoso 5</v>
      </c>
      <c r="D30" s="282"/>
      <c r="E30" s="255">
        <v>0</v>
      </c>
      <c r="F30" s="136">
        <v>0</v>
      </c>
      <c r="G30" s="134">
        <f>(12/'CUSTOS ANUAIS'!$N$18)*E30</f>
        <v>0</v>
      </c>
    </row>
    <row r="31" spans="2:12">
      <c r="B31" s="115"/>
      <c r="C31" s="282" t="str">
        <f>$C$18</f>
        <v>Volumoso 6</v>
      </c>
      <c r="D31" s="282"/>
      <c r="E31" s="255">
        <v>0</v>
      </c>
      <c r="F31" s="136">
        <v>0</v>
      </c>
      <c r="G31" s="134">
        <f>(12/'CUSTOS ANUAIS'!$N$18)*E31</f>
        <v>0</v>
      </c>
    </row>
    <row r="32" spans="2:12">
      <c r="B32" s="115"/>
      <c r="C32" s="282" t="str">
        <f>$C$19</f>
        <v>Volumoso 7</v>
      </c>
      <c r="D32" s="282"/>
      <c r="E32" s="255">
        <v>0</v>
      </c>
      <c r="F32" s="136">
        <v>0</v>
      </c>
      <c r="G32" s="134">
        <f>(12/'CUSTOS ANUAIS'!$N$18)*E32</f>
        <v>0</v>
      </c>
    </row>
    <row r="33" spans="2:7">
      <c r="B33" s="115"/>
      <c r="C33" s="282" t="str">
        <f>$C$20</f>
        <v>Volumoso 8</v>
      </c>
      <c r="D33" s="282"/>
      <c r="E33" s="255">
        <v>0</v>
      </c>
      <c r="F33" s="136">
        <v>0</v>
      </c>
      <c r="G33" s="134">
        <f>(12/'CUSTOS ANUAIS'!$N$18)*E33</f>
        <v>0</v>
      </c>
    </row>
    <row r="34" spans="2:7">
      <c r="B34" s="115"/>
      <c r="C34" s="282" t="str">
        <f>$C$21</f>
        <v>Volumoso 9</v>
      </c>
      <c r="D34" s="282"/>
      <c r="E34" s="255">
        <v>0</v>
      </c>
      <c r="F34" s="136">
        <v>0</v>
      </c>
      <c r="G34" s="134">
        <f>(12/'CUSTOS ANUAIS'!$N$18)*E34</f>
        <v>0</v>
      </c>
    </row>
    <row r="35" spans="2:7" ht="18" thickBot="1">
      <c r="B35" s="141"/>
      <c r="C35" s="283" t="s">
        <v>19</v>
      </c>
      <c r="D35" s="283"/>
      <c r="E35" s="256">
        <v>65</v>
      </c>
      <c r="F35" s="142">
        <v>0.5</v>
      </c>
      <c r="G35" s="147">
        <f>(12/'CUSTOS ANUAIS'!$N$18)*E35</f>
        <v>78</v>
      </c>
    </row>
    <row r="36" spans="2:7">
      <c r="B36" s="350" t="s">
        <v>490</v>
      </c>
      <c r="C36" s="249"/>
      <c r="D36" s="249"/>
      <c r="E36" s="215"/>
      <c r="F36" s="227"/>
      <c r="G36" s="139"/>
    </row>
    <row r="37" spans="2:7">
      <c r="B37" s="351" t="s">
        <v>493</v>
      </c>
      <c r="C37" s="277" t="str">
        <f>$C$11</f>
        <v>Sal mineral</v>
      </c>
      <c r="D37" s="277"/>
      <c r="E37" s="255"/>
      <c r="F37" s="136">
        <v>0</v>
      </c>
      <c r="G37" s="134">
        <f>(12/'CUSTOS ANUAIS'!$N$18)*E37</f>
        <v>0</v>
      </c>
    </row>
    <row r="38" spans="2:7">
      <c r="B38" s="351"/>
      <c r="C38" s="282" t="str">
        <f>$C$12</f>
        <v>Pastagem</v>
      </c>
      <c r="D38" s="282"/>
      <c r="E38" s="255"/>
      <c r="F38" s="136">
        <v>0</v>
      </c>
      <c r="G38" s="134">
        <f>(12/'CUSTOS ANUAIS'!$N$18)*E38</f>
        <v>0</v>
      </c>
    </row>
    <row r="39" spans="2:7">
      <c r="B39" s="351"/>
      <c r="C39" s="282" t="str">
        <f>$C$13</f>
        <v>Volumoso 1</v>
      </c>
      <c r="D39" s="282"/>
      <c r="E39" s="255"/>
      <c r="F39" s="136">
        <v>0</v>
      </c>
      <c r="G39" s="134">
        <f>(12/'CUSTOS ANUAIS'!$N$18)*E39</f>
        <v>0</v>
      </c>
    </row>
    <row r="40" spans="2:7">
      <c r="B40" s="115"/>
      <c r="C40" s="282" t="str">
        <f>$C$14</f>
        <v>Volumoso 2</v>
      </c>
      <c r="D40" s="282"/>
      <c r="E40" s="255"/>
      <c r="F40" s="136">
        <v>0</v>
      </c>
      <c r="G40" s="134">
        <f>(12/'CUSTOS ANUAIS'!$N$18)*E40</f>
        <v>0</v>
      </c>
    </row>
    <row r="41" spans="2:7">
      <c r="B41" s="115"/>
      <c r="C41" s="282" t="str">
        <f>$C$15</f>
        <v>Volumoso 3</v>
      </c>
      <c r="D41" s="282"/>
      <c r="E41" s="255"/>
      <c r="F41" s="136">
        <v>0</v>
      </c>
      <c r="G41" s="134">
        <f>(12/'CUSTOS ANUAIS'!$N$18)*E41</f>
        <v>0</v>
      </c>
    </row>
    <row r="42" spans="2:7">
      <c r="B42" s="115"/>
      <c r="C42" s="282" t="str">
        <f>$C$16</f>
        <v>Volumoso 4</v>
      </c>
      <c r="D42" s="282"/>
      <c r="E42" s="255"/>
      <c r="F42" s="136">
        <v>0</v>
      </c>
      <c r="G42" s="134">
        <f>(12/'CUSTOS ANUAIS'!$N$18)*E42</f>
        <v>0</v>
      </c>
    </row>
    <row r="43" spans="2:7">
      <c r="B43" s="115"/>
      <c r="C43" s="282" t="str">
        <f>$C$17</f>
        <v>Volumoso 5</v>
      </c>
      <c r="D43" s="282"/>
      <c r="E43" s="255"/>
      <c r="F43" s="136">
        <v>0</v>
      </c>
      <c r="G43" s="134">
        <f>(12/'CUSTOS ANUAIS'!$N$18)*E43</f>
        <v>0</v>
      </c>
    </row>
    <row r="44" spans="2:7">
      <c r="B44" s="115"/>
      <c r="C44" s="282" t="str">
        <f>$C$18</f>
        <v>Volumoso 6</v>
      </c>
      <c r="D44" s="282"/>
      <c r="E44" s="255"/>
      <c r="F44" s="136">
        <v>0</v>
      </c>
      <c r="G44" s="134">
        <f>(12/'CUSTOS ANUAIS'!$N$18)*E44</f>
        <v>0</v>
      </c>
    </row>
    <row r="45" spans="2:7">
      <c r="B45" s="115"/>
      <c r="C45" s="282" t="str">
        <f>$C$19</f>
        <v>Volumoso 7</v>
      </c>
      <c r="D45" s="282"/>
      <c r="E45" s="255"/>
      <c r="F45" s="136">
        <v>0</v>
      </c>
      <c r="G45" s="134">
        <f>(12/'CUSTOS ANUAIS'!$N$18)*E45</f>
        <v>0</v>
      </c>
    </row>
    <row r="46" spans="2:7">
      <c r="B46" s="115"/>
      <c r="C46" s="282" t="str">
        <f>$C$20</f>
        <v>Volumoso 8</v>
      </c>
      <c r="D46" s="282"/>
      <c r="E46" s="255"/>
      <c r="F46" s="136">
        <v>0</v>
      </c>
      <c r="G46" s="134">
        <f>(12/'CUSTOS ANUAIS'!$N$18)*E46</f>
        <v>0</v>
      </c>
    </row>
    <row r="47" spans="2:7">
      <c r="B47" s="115"/>
      <c r="C47" s="282" t="str">
        <f>$C$21</f>
        <v>Volumoso 9</v>
      </c>
      <c r="D47" s="282"/>
      <c r="E47" s="255"/>
      <c r="F47" s="136">
        <v>0</v>
      </c>
      <c r="G47" s="134">
        <f>(12/'CUSTOS ANUAIS'!$N$18)*E47</f>
        <v>0</v>
      </c>
    </row>
    <row r="48" spans="2:7" ht="18" thickBot="1">
      <c r="B48" s="115"/>
      <c r="C48" s="283" t="s">
        <v>494</v>
      </c>
      <c r="D48" s="283"/>
      <c r="E48" s="255"/>
      <c r="F48" s="136">
        <v>0</v>
      </c>
      <c r="G48" s="147">
        <f>(12/'CUSTOS ANUAIS'!$N$18)*E48</f>
        <v>0</v>
      </c>
    </row>
    <row r="49" spans="2:7">
      <c r="B49" s="224" t="s">
        <v>20</v>
      </c>
      <c r="C49" s="225"/>
      <c r="D49" s="253"/>
      <c r="E49" s="226"/>
      <c r="F49" s="227"/>
      <c r="G49" s="139"/>
    </row>
    <row r="50" spans="2:7">
      <c r="B50" s="144" t="s">
        <v>21</v>
      </c>
      <c r="C50" s="284" t="str">
        <f>$C$11</f>
        <v>Sal mineral</v>
      </c>
      <c r="D50" s="284"/>
      <c r="E50" s="255">
        <v>90</v>
      </c>
      <c r="F50" s="145">
        <v>2.5000000000000001E-2</v>
      </c>
      <c r="G50" s="134">
        <f>(12/'CUSTOS ANUAIS'!$N$18)*E50</f>
        <v>108</v>
      </c>
    </row>
    <row r="51" spans="2:7">
      <c r="B51" s="8"/>
      <c r="C51" s="282" t="str">
        <f>$C$12</f>
        <v>Pastagem</v>
      </c>
      <c r="D51" s="282"/>
      <c r="E51" s="255">
        <v>90</v>
      </c>
      <c r="F51" s="145">
        <v>1.8</v>
      </c>
      <c r="G51" s="134">
        <f>(12/'CUSTOS ANUAIS'!$N$18)*E51</f>
        <v>108</v>
      </c>
    </row>
    <row r="52" spans="2:7">
      <c r="B52" s="144"/>
      <c r="C52" s="282" t="str">
        <f>$C$13</f>
        <v>Volumoso 1</v>
      </c>
      <c r="D52" s="282"/>
      <c r="E52" s="255">
        <v>0</v>
      </c>
      <c r="F52" s="145">
        <v>0</v>
      </c>
      <c r="G52" s="134">
        <f>(12/'CUSTOS ANUAIS'!$N$18)*E52</f>
        <v>0</v>
      </c>
    </row>
    <row r="53" spans="2:7">
      <c r="B53" s="144"/>
      <c r="C53" s="282" t="str">
        <f>$C$14</f>
        <v>Volumoso 2</v>
      </c>
      <c r="D53" s="282"/>
      <c r="E53" s="255">
        <v>45</v>
      </c>
      <c r="F53" s="145">
        <v>1.3</v>
      </c>
      <c r="G53" s="134">
        <f>(12/'CUSTOS ANUAIS'!$N$18)*E53</f>
        <v>54</v>
      </c>
    </row>
    <row r="54" spans="2:7">
      <c r="B54" s="8"/>
      <c r="C54" s="282" t="str">
        <f>$C$15</f>
        <v>Volumoso 3</v>
      </c>
      <c r="D54" s="282"/>
      <c r="E54" s="255">
        <v>0</v>
      </c>
      <c r="F54" s="145">
        <v>0</v>
      </c>
      <c r="G54" s="134">
        <f>(12/'CUSTOS ANUAIS'!$N$18)*E54</f>
        <v>0</v>
      </c>
    </row>
    <row r="55" spans="2:7">
      <c r="B55" s="8"/>
      <c r="C55" s="282" t="str">
        <f>$C$16</f>
        <v>Volumoso 4</v>
      </c>
      <c r="D55" s="282"/>
      <c r="E55" s="255">
        <v>0</v>
      </c>
      <c r="F55" s="145">
        <v>0</v>
      </c>
      <c r="G55" s="134">
        <f>(12/'CUSTOS ANUAIS'!$N$18)*E55</f>
        <v>0</v>
      </c>
    </row>
    <row r="56" spans="2:7">
      <c r="B56" s="8"/>
      <c r="C56" s="282" t="str">
        <f>$C$17</f>
        <v>Volumoso 5</v>
      </c>
      <c r="D56" s="282"/>
      <c r="E56" s="255">
        <v>0</v>
      </c>
      <c r="F56" s="145">
        <v>0</v>
      </c>
      <c r="G56" s="134">
        <f>(12/'CUSTOS ANUAIS'!$N$18)*E56</f>
        <v>0</v>
      </c>
    </row>
    <row r="57" spans="2:7">
      <c r="B57" s="8"/>
      <c r="C57" s="282" t="str">
        <f>$C$18</f>
        <v>Volumoso 6</v>
      </c>
      <c r="D57" s="282"/>
      <c r="E57" s="255">
        <v>0</v>
      </c>
      <c r="F57" s="145">
        <v>0</v>
      </c>
      <c r="G57" s="134">
        <f>(12/'CUSTOS ANUAIS'!$N$18)*E57</f>
        <v>0</v>
      </c>
    </row>
    <row r="58" spans="2:7">
      <c r="B58" s="8"/>
      <c r="C58" s="282" t="str">
        <f>$C$19</f>
        <v>Volumoso 7</v>
      </c>
      <c r="D58" s="282"/>
      <c r="E58" s="255">
        <v>0</v>
      </c>
      <c r="F58" s="145">
        <v>0</v>
      </c>
      <c r="G58" s="134">
        <f>(12/'CUSTOS ANUAIS'!$N$18)*E58</f>
        <v>0</v>
      </c>
    </row>
    <row r="59" spans="2:7">
      <c r="B59" s="8"/>
      <c r="C59" s="282" t="str">
        <f>$C$20</f>
        <v>Volumoso 8</v>
      </c>
      <c r="D59" s="282"/>
      <c r="E59" s="255">
        <v>0</v>
      </c>
      <c r="F59" s="145">
        <v>0</v>
      </c>
      <c r="G59" s="134">
        <f>(12/'CUSTOS ANUAIS'!$N$18)*E59</f>
        <v>0</v>
      </c>
    </row>
    <row r="60" spans="2:7">
      <c r="B60" s="8"/>
      <c r="C60" s="282" t="str">
        <f>$C$21</f>
        <v>Volumoso 9</v>
      </c>
      <c r="D60" s="282"/>
      <c r="E60" s="255">
        <v>0</v>
      </c>
      <c r="F60" s="145">
        <v>0</v>
      </c>
      <c r="G60" s="134">
        <f>(12/'CUSTOS ANUAIS'!$N$18)*E60</f>
        <v>0</v>
      </c>
    </row>
    <row r="61" spans="2:7" ht="18" thickBot="1">
      <c r="B61" s="18"/>
      <c r="C61" s="283" t="s">
        <v>22</v>
      </c>
      <c r="D61" s="283"/>
      <c r="E61" s="256">
        <v>0</v>
      </c>
      <c r="F61" s="146">
        <v>0</v>
      </c>
      <c r="G61" s="147">
        <f>(12/'CUSTOS ANUAIS'!$N$18)*E61</f>
        <v>0</v>
      </c>
    </row>
    <row r="62" spans="2:7">
      <c r="B62" s="144" t="s">
        <v>23</v>
      </c>
      <c r="C62" s="279" t="str">
        <f>$C$11</f>
        <v>Sal mineral</v>
      </c>
      <c r="D62" s="279"/>
      <c r="E62" s="137">
        <v>60</v>
      </c>
      <c r="F62" s="138">
        <v>2.5000000000000001E-2</v>
      </c>
      <c r="G62" s="134">
        <f>(12/'CUSTOS ANUAIS'!$N$18)*E62</f>
        <v>72</v>
      </c>
    </row>
    <row r="63" spans="2:7">
      <c r="B63" s="144"/>
      <c r="C63" s="282" t="str">
        <f>$C$12</f>
        <v>Pastagem</v>
      </c>
      <c r="D63" s="282"/>
      <c r="E63" s="255">
        <v>60</v>
      </c>
      <c r="F63" s="145">
        <v>3</v>
      </c>
      <c r="G63" s="134">
        <f>(12/'CUSTOS ANUAIS'!$N$18)*E63</f>
        <v>72</v>
      </c>
    </row>
    <row r="64" spans="2:7">
      <c r="B64" s="144"/>
      <c r="C64" s="282" t="str">
        <f>$C$13</f>
        <v>Volumoso 1</v>
      </c>
      <c r="D64" s="282"/>
      <c r="E64" s="255">
        <v>0</v>
      </c>
      <c r="F64" s="145">
        <v>0</v>
      </c>
      <c r="G64" s="134">
        <f>(12/'CUSTOS ANUAIS'!$N$18)*E64</f>
        <v>0</v>
      </c>
    </row>
    <row r="65" spans="2:7">
      <c r="B65" s="144"/>
      <c r="C65" s="282" t="str">
        <f>$C$14</f>
        <v>Volumoso 2</v>
      </c>
      <c r="D65" s="282"/>
      <c r="E65" s="255">
        <v>30</v>
      </c>
      <c r="F65" s="145">
        <v>1.5</v>
      </c>
      <c r="G65" s="134">
        <f>(12/'CUSTOS ANUAIS'!$N$18)*E65</f>
        <v>36</v>
      </c>
    </row>
    <row r="66" spans="2:7">
      <c r="B66" s="8"/>
      <c r="C66" s="282" t="str">
        <f>$C$15</f>
        <v>Volumoso 3</v>
      </c>
      <c r="D66" s="282"/>
      <c r="E66" s="255">
        <v>0</v>
      </c>
      <c r="F66" s="145">
        <v>0</v>
      </c>
      <c r="G66" s="134">
        <f>(12/'CUSTOS ANUAIS'!$N$18)*E66</f>
        <v>0</v>
      </c>
    </row>
    <row r="67" spans="2:7">
      <c r="B67" s="8"/>
      <c r="C67" s="282" t="str">
        <f>$C$16</f>
        <v>Volumoso 4</v>
      </c>
      <c r="D67" s="282"/>
      <c r="E67" s="255">
        <v>0</v>
      </c>
      <c r="F67" s="145">
        <v>0</v>
      </c>
      <c r="G67" s="134">
        <f>(12/'CUSTOS ANUAIS'!$N$18)*E67</f>
        <v>0</v>
      </c>
    </row>
    <row r="68" spans="2:7">
      <c r="B68" s="8"/>
      <c r="C68" s="282" t="str">
        <f>$C$17</f>
        <v>Volumoso 5</v>
      </c>
      <c r="D68" s="282"/>
      <c r="E68" s="255">
        <v>0</v>
      </c>
      <c r="F68" s="145">
        <v>0</v>
      </c>
      <c r="G68" s="134">
        <f>(12/'CUSTOS ANUAIS'!$N$18)*E68</f>
        <v>0</v>
      </c>
    </row>
    <row r="69" spans="2:7">
      <c r="B69" s="8"/>
      <c r="C69" s="282" t="str">
        <f>$C$18</f>
        <v>Volumoso 6</v>
      </c>
      <c r="D69" s="282"/>
      <c r="E69" s="255">
        <v>0</v>
      </c>
      <c r="F69" s="145">
        <v>0</v>
      </c>
      <c r="G69" s="134">
        <f>(12/'CUSTOS ANUAIS'!$N$18)*E69</f>
        <v>0</v>
      </c>
    </row>
    <row r="70" spans="2:7">
      <c r="B70" s="8"/>
      <c r="C70" s="282" t="str">
        <f>$C$19</f>
        <v>Volumoso 7</v>
      </c>
      <c r="D70" s="282"/>
      <c r="E70" s="255">
        <v>0</v>
      </c>
      <c r="F70" s="145">
        <v>0</v>
      </c>
      <c r="G70" s="134">
        <f>(12/'CUSTOS ANUAIS'!$N$18)*E70</f>
        <v>0</v>
      </c>
    </row>
    <row r="71" spans="2:7">
      <c r="B71" s="8"/>
      <c r="C71" s="282" t="str">
        <f>$C$20</f>
        <v>Volumoso 8</v>
      </c>
      <c r="D71" s="282"/>
      <c r="E71" s="255">
        <v>0</v>
      </c>
      <c r="F71" s="145">
        <v>0</v>
      </c>
      <c r="G71" s="134">
        <f>(12/'CUSTOS ANUAIS'!$N$18)*E71</f>
        <v>0</v>
      </c>
    </row>
    <row r="72" spans="2:7">
      <c r="B72" s="8"/>
      <c r="C72" s="282" t="str">
        <f>$C$21</f>
        <v>Volumoso 9</v>
      </c>
      <c r="D72" s="282"/>
      <c r="E72" s="255">
        <v>0</v>
      </c>
      <c r="F72" s="145">
        <v>0</v>
      </c>
      <c r="G72" s="134">
        <f>(12/'CUSTOS ANUAIS'!$N$18)*E72</f>
        <v>0</v>
      </c>
    </row>
    <row r="73" spans="2:7" ht="18" thickBot="1">
      <c r="B73" s="8"/>
      <c r="C73" s="282" t="str">
        <f>$C$61</f>
        <v>Concentrado adultos</v>
      </c>
      <c r="D73" s="282"/>
      <c r="E73" s="255">
        <v>60</v>
      </c>
      <c r="F73" s="145">
        <v>0.3</v>
      </c>
      <c r="G73" s="147">
        <f>(12/'CUSTOS ANUAIS'!$N$18)*E73</f>
        <v>72</v>
      </c>
    </row>
    <row r="74" spans="2:7">
      <c r="B74" s="148" t="s">
        <v>24</v>
      </c>
      <c r="C74" s="291" t="str">
        <f>$C$11</f>
        <v>Sal mineral</v>
      </c>
      <c r="D74" s="291"/>
      <c r="E74" s="149">
        <v>75</v>
      </c>
      <c r="F74" s="150">
        <v>2.5000000000000001E-2</v>
      </c>
      <c r="G74" s="134">
        <f>(12/'CUSTOS ANUAIS'!$N$18)*E74</f>
        <v>90</v>
      </c>
    </row>
    <row r="75" spans="2:7">
      <c r="B75" s="8"/>
      <c r="C75" s="282" t="str">
        <f>$C$12</f>
        <v>Pastagem</v>
      </c>
      <c r="D75" s="282"/>
      <c r="E75" s="255">
        <v>75</v>
      </c>
      <c r="F75" s="145">
        <v>3.75</v>
      </c>
      <c r="G75" s="134">
        <f>(12/'CUSTOS ANUAIS'!$N$18)*E75</f>
        <v>90</v>
      </c>
    </row>
    <row r="76" spans="2:7">
      <c r="B76" s="144"/>
      <c r="C76" s="282" t="str">
        <f>$C$13</f>
        <v>Volumoso 1</v>
      </c>
      <c r="D76" s="282"/>
      <c r="E76" s="255">
        <v>0</v>
      </c>
      <c r="F76" s="145">
        <v>0</v>
      </c>
      <c r="G76" s="134">
        <f>(12/'CUSTOS ANUAIS'!$N$18)*E76</f>
        <v>0</v>
      </c>
    </row>
    <row r="77" spans="2:7">
      <c r="B77" s="144"/>
      <c r="C77" s="282" t="str">
        <f>$C$14</f>
        <v>Volumoso 2</v>
      </c>
      <c r="D77" s="282"/>
      <c r="E77" s="255">
        <v>38</v>
      </c>
      <c r="F77" s="145">
        <v>2</v>
      </c>
      <c r="G77" s="134">
        <f>(12/'CUSTOS ANUAIS'!$N$18)*E77</f>
        <v>45.6</v>
      </c>
    </row>
    <row r="78" spans="2:7">
      <c r="B78" s="8"/>
      <c r="C78" s="282" t="str">
        <f>$C$15</f>
        <v>Volumoso 3</v>
      </c>
      <c r="D78" s="282"/>
      <c r="E78" s="255">
        <v>0</v>
      </c>
      <c r="F78" s="145">
        <v>0</v>
      </c>
      <c r="G78" s="134">
        <f>(12/'CUSTOS ANUAIS'!$N$18)*E78</f>
        <v>0</v>
      </c>
    </row>
    <row r="79" spans="2:7">
      <c r="B79" s="8"/>
      <c r="C79" s="282" t="str">
        <f>$C$16</f>
        <v>Volumoso 4</v>
      </c>
      <c r="D79" s="282"/>
      <c r="E79" s="255">
        <v>0</v>
      </c>
      <c r="F79" s="145">
        <v>0</v>
      </c>
      <c r="G79" s="134">
        <f>(12/'CUSTOS ANUAIS'!$N$18)*E79</f>
        <v>0</v>
      </c>
    </row>
    <row r="80" spans="2:7">
      <c r="B80" s="8"/>
      <c r="C80" s="282" t="str">
        <f>$C$17</f>
        <v>Volumoso 5</v>
      </c>
      <c r="D80" s="282"/>
      <c r="E80" s="255">
        <v>0</v>
      </c>
      <c r="F80" s="145">
        <v>0</v>
      </c>
      <c r="G80" s="134">
        <f>(12/'CUSTOS ANUAIS'!$N$18)*E80</f>
        <v>0</v>
      </c>
    </row>
    <row r="81" spans="2:7">
      <c r="B81" s="8"/>
      <c r="C81" s="282" t="str">
        <f>$C$18</f>
        <v>Volumoso 6</v>
      </c>
      <c r="D81" s="282"/>
      <c r="E81" s="255">
        <v>0</v>
      </c>
      <c r="F81" s="145">
        <v>0</v>
      </c>
      <c r="G81" s="134">
        <f>(12/'CUSTOS ANUAIS'!$N$18)*E81</f>
        <v>0</v>
      </c>
    </row>
    <row r="82" spans="2:7">
      <c r="B82" s="8"/>
      <c r="C82" s="282" t="str">
        <f>$C$19</f>
        <v>Volumoso 7</v>
      </c>
      <c r="D82" s="282"/>
      <c r="E82" s="255">
        <v>0</v>
      </c>
      <c r="F82" s="145">
        <v>0</v>
      </c>
      <c r="G82" s="134">
        <f>(12/'CUSTOS ANUAIS'!$N$18)*E82</f>
        <v>0</v>
      </c>
    </row>
    <row r="83" spans="2:7">
      <c r="B83" s="8"/>
      <c r="C83" s="282" t="str">
        <f>$C$20</f>
        <v>Volumoso 8</v>
      </c>
      <c r="D83" s="282"/>
      <c r="E83" s="255">
        <v>0</v>
      </c>
      <c r="F83" s="145">
        <v>0</v>
      </c>
      <c r="G83" s="134">
        <f>(12/'CUSTOS ANUAIS'!$N$18)*E83</f>
        <v>0</v>
      </c>
    </row>
    <row r="84" spans="2:7">
      <c r="B84" s="8"/>
      <c r="C84" s="282" t="str">
        <f>$C$21</f>
        <v>Volumoso 9</v>
      </c>
      <c r="D84" s="282"/>
      <c r="E84" s="255">
        <v>0</v>
      </c>
      <c r="F84" s="145">
        <v>0</v>
      </c>
      <c r="G84" s="134">
        <f>(12/'CUSTOS ANUAIS'!$N$18)*E84</f>
        <v>0</v>
      </c>
    </row>
    <row r="85" spans="2:7" ht="18" thickBot="1">
      <c r="B85" s="8"/>
      <c r="C85" s="282" t="str">
        <f>$C$61</f>
        <v>Concentrado adultos</v>
      </c>
      <c r="D85" s="282"/>
      <c r="E85" s="255">
        <v>30</v>
      </c>
      <c r="F85" s="145">
        <v>0.3</v>
      </c>
      <c r="G85" s="147">
        <f>(12/'CUSTOS ANUAIS'!$N$18)*E85</f>
        <v>36</v>
      </c>
    </row>
    <row r="86" spans="2:7">
      <c r="B86" s="148" t="s">
        <v>25</v>
      </c>
      <c r="C86" s="291" t="str">
        <f>$C$11</f>
        <v>Sal mineral</v>
      </c>
      <c r="D86" s="291"/>
      <c r="E86" s="149">
        <v>67</v>
      </c>
      <c r="F86" s="150">
        <v>2.5000000000000001E-2</v>
      </c>
      <c r="G86" s="134">
        <f>(12/'CUSTOS ANUAIS'!$N$18)*E86</f>
        <v>80.399999999999991</v>
      </c>
    </row>
    <row r="87" spans="2:7">
      <c r="B87" s="8"/>
      <c r="C87" s="282" t="str">
        <f>$C$12</f>
        <v>Pastagem</v>
      </c>
      <c r="D87" s="282"/>
      <c r="E87" s="255">
        <v>67</v>
      </c>
      <c r="F87" s="145">
        <v>2.25</v>
      </c>
      <c r="G87" s="134">
        <f>(12/'CUSTOS ANUAIS'!$N$18)*E87</f>
        <v>80.399999999999991</v>
      </c>
    </row>
    <row r="88" spans="2:7">
      <c r="B88" s="144"/>
      <c r="C88" s="282" t="str">
        <f>$C$13</f>
        <v>Volumoso 1</v>
      </c>
      <c r="D88" s="282"/>
      <c r="E88" s="255">
        <v>0</v>
      </c>
      <c r="F88" s="145">
        <v>0</v>
      </c>
      <c r="G88" s="134">
        <f>(12/'CUSTOS ANUAIS'!$N$18)*E88</f>
        <v>0</v>
      </c>
    </row>
    <row r="89" spans="2:7">
      <c r="B89" s="144"/>
      <c r="C89" s="282" t="str">
        <f>$C$14</f>
        <v>Volumoso 2</v>
      </c>
      <c r="D89" s="282"/>
      <c r="E89" s="255">
        <v>34</v>
      </c>
      <c r="F89" s="145">
        <v>1.5</v>
      </c>
      <c r="G89" s="134">
        <f>(12/'CUSTOS ANUAIS'!$N$18)*E89</f>
        <v>40.799999999999997</v>
      </c>
    </row>
    <row r="90" spans="2:7">
      <c r="B90" s="8"/>
      <c r="C90" s="282" t="str">
        <f>$C$15</f>
        <v>Volumoso 3</v>
      </c>
      <c r="D90" s="282"/>
      <c r="E90" s="255">
        <v>0</v>
      </c>
      <c r="F90" s="145">
        <v>0</v>
      </c>
      <c r="G90" s="134">
        <f>(12/'CUSTOS ANUAIS'!$N$18)*E90</f>
        <v>0</v>
      </c>
    </row>
    <row r="91" spans="2:7">
      <c r="B91" s="8"/>
      <c r="C91" s="282" t="str">
        <f>$C$16</f>
        <v>Volumoso 4</v>
      </c>
      <c r="D91" s="282"/>
      <c r="E91" s="255">
        <v>0</v>
      </c>
      <c r="F91" s="145">
        <v>0</v>
      </c>
      <c r="G91" s="134">
        <f>(12/'CUSTOS ANUAIS'!$N$18)*E91</f>
        <v>0</v>
      </c>
    </row>
    <row r="92" spans="2:7">
      <c r="B92" s="8"/>
      <c r="C92" s="282" t="str">
        <f>$C$17</f>
        <v>Volumoso 5</v>
      </c>
      <c r="D92" s="282"/>
      <c r="E92" s="255">
        <v>0</v>
      </c>
      <c r="F92" s="145">
        <v>0</v>
      </c>
      <c r="G92" s="134">
        <f>(12/'CUSTOS ANUAIS'!$N$18)*E92</f>
        <v>0</v>
      </c>
    </row>
    <row r="93" spans="2:7">
      <c r="B93" s="8"/>
      <c r="C93" s="282" t="str">
        <f>$C$18</f>
        <v>Volumoso 6</v>
      </c>
      <c r="D93" s="282"/>
      <c r="E93" s="255">
        <v>0</v>
      </c>
      <c r="F93" s="145">
        <v>0</v>
      </c>
      <c r="G93" s="134">
        <f>(12/'CUSTOS ANUAIS'!$N$18)*E93</f>
        <v>0</v>
      </c>
    </row>
    <row r="94" spans="2:7">
      <c r="B94" s="8"/>
      <c r="C94" s="282" t="str">
        <f>$C$19</f>
        <v>Volumoso 7</v>
      </c>
      <c r="D94" s="282"/>
      <c r="E94" s="255">
        <v>0</v>
      </c>
      <c r="F94" s="145">
        <v>0</v>
      </c>
      <c r="G94" s="134">
        <f>(12/'CUSTOS ANUAIS'!$N$18)*E94</f>
        <v>0</v>
      </c>
    </row>
    <row r="95" spans="2:7">
      <c r="B95" s="8"/>
      <c r="C95" s="282" t="str">
        <f>$C$20</f>
        <v>Volumoso 8</v>
      </c>
      <c r="D95" s="282"/>
      <c r="E95" s="255">
        <v>0</v>
      </c>
      <c r="F95" s="145">
        <v>0</v>
      </c>
      <c r="G95" s="134">
        <f>(12/'CUSTOS ANUAIS'!$N$18)*E95</f>
        <v>0</v>
      </c>
    </row>
    <row r="96" spans="2:7">
      <c r="B96" s="8"/>
      <c r="C96" s="282" t="str">
        <f>$C$21</f>
        <v>Volumoso 9</v>
      </c>
      <c r="D96" s="282"/>
      <c r="E96" s="255">
        <v>0</v>
      </c>
      <c r="F96" s="145">
        <v>0</v>
      </c>
      <c r="G96" s="134">
        <f>(12/'CUSTOS ANUAIS'!$N$18)*E96</f>
        <v>0</v>
      </c>
    </row>
    <row r="97" spans="2:7" ht="18" thickBot="1">
      <c r="B97" s="18"/>
      <c r="C97" s="283" t="str">
        <f>$C$61</f>
        <v>Concentrado adultos</v>
      </c>
      <c r="D97" s="283"/>
      <c r="E97" s="256">
        <v>0</v>
      </c>
      <c r="F97" s="146">
        <v>0</v>
      </c>
      <c r="G97" s="147">
        <f>(12/'CUSTOS ANUAIS'!$N$18)*E97</f>
        <v>0</v>
      </c>
    </row>
    <row r="98" spans="2:7">
      <c r="B98" s="131" t="s">
        <v>26</v>
      </c>
      <c r="C98" s="151"/>
      <c r="D98" s="246"/>
      <c r="E98" s="152"/>
      <c r="F98" s="143"/>
      <c r="G98" s="139"/>
    </row>
    <row r="99" spans="2:7">
      <c r="B99" s="144" t="s">
        <v>27</v>
      </c>
      <c r="C99" s="284" t="str">
        <f>$C$11</f>
        <v>Sal mineral</v>
      </c>
      <c r="D99" s="284"/>
      <c r="E99" s="255">
        <v>304</v>
      </c>
      <c r="F99" s="145">
        <v>2.5000000000000001E-2</v>
      </c>
      <c r="G99" s="134">
        <f>(12/'CUSTOS ANUAIS'!$N$18)*E99</f>
        <v>364.8</v>
      </c>
    </row>
    <row r="100" spans="2:7">
      <c r="B100" s="8"/>
      <c r="C100" s="282" t="str">
        <f>$C$12</f>
        <v>Pastagem</v>
      </c>
      <c r="D100" s="282"/>
      <c r="E100" s="255">
        <v>304</v>
      </c>
      <c r="F100" s="145">
        <v>3.75</v>
      </c>
      <c r="G100" s="134">
        <f>(12/'CUSTOS ANUAIS'!$N$18)*E100</f>
        <v>364.8</v>
      </c>
    </row>
    <row r="101" spans="2:7">
      <c r="B101" s="144"/>
      <c r="C101" s="282" t="str">
        <f>$C$13</f>
        <v>Volumoso 1</v>
      </c>
      <c r="D101" s="282"/>
      <c r="E101" s="255">
        <v>0</v>
      </c>
      <c r="F101" s="145">
        <v>0</v>
      </c>
      <c r="G101" s="134">
        <f>(12/'CUSTOS ANUAIS'!$N$18)*E101</f>
        <v>0</v>
      </c>
    </row>
    <row r="102" spans="2:7">
      <c r="B102" s="144"/>
      <c r="C102" s="282" t="str">
        <f>$C$14</f>
        <v>Volumoso 2</v>
      </c>
      <c r="D102" s="282"/>
      <c r="E102" s="255">
        <v>150</v>
      </c>
      <c r="F102" s="145">
        <v>2.5</v>
      </c>
      <c r="G102" s="134">
        <f>(12/'CUSTOS ANUAIS'!$N$18)*E102</f>
        <v>180</v>
      </c>
    </row>
    <row r="103" spans="2:7">
      <c r="B103" s="8"/>
      <c r="C103" s="282" t="str">
        <f>$C$15</f>
        <v>Volumoso 3</v>
      </c>
      <c r="D103" s="282"/>
      <c r="E103" s="255">
        <v>0</v>
      </c>
      <c r="F103" s="145">
        <v>0</v>
      </c>
      <c r="G103" s="134">
        <f>(12/'CUSTOS ANUAIS'!$N$18)*E103</f>
        <v>0</v>
      </c>
    </row>
    <row r="104" spans="2:7">
      <c r="B104" s="8"/>
      <c r="C104" s="282" t="str">
        <f>$C$16</f>
        <v>Volumoso 4</v>
      </c>
      <c r="D104" s="282"/>
      <c r="E104" s="255">
        <v>0</v>
      </c>
      <c r="F104" s="145">
        <v>0</v>
      </c>
      <c r="G104" s="134">
        <f>(12/'CUSTOS ANUAIS'!$N$18)*E104</f>
        <v>0</v>
      </c>
    </row>
    <row r="105" spans="2:7">
      <c r="B105" s="8"/>
      <c r="C105" s="282" t="str">
        <f>$C$17</f>
        <v>Volumoso 5</v>
      </c>
      <c r="D105" s="282"/>
      <c r="E105" s="255">
        <v>0</v>
      </c>
      <c r="F105" s="145">
        <v>0</v>
      </c>
      <c r="G105" s="134">
        <f>(12/'CUSTOS ANUAIS'!$N$18)*E105</f>
        <v>0</v>
      </c>
    </row>
    <row r="106" spans="2:7">
      <c r="B106" s="8"/>
      <c r="C106" s="282" t="str">
        <f>$C$18</f>
        <v>Volumoso 6</v>
      </c>
      <c r="D106" s="282"/>
      <c r="E106" s="255">
        <v>0</v>
      </c>
      <c r="F106" s="145">
        <v>0</v>
      </c>
      <c r="G106" s="134">
        <f>(12/'CUSTOS ANUAIS'!$N$18)*E106</f>
        <v>0</v>
      </c>
    </row>
    <row r="107" spans="2:7">
      <c r="B107" s="8"/>
      <c r="C107" s="282" t="str">
        <f>$C$19</f>
        <v>Volumoso 7</v>
      </c>
      <c r="D107" s="282"/>
      <c r="E107" s="255">
        <v>0</v>
      </c>
      <c r="F107" s="145">
        <v>0</v>
      </c>
      <c r="G107" s="134">
        <f>(12/'CUSTOS ANUAIS'!$N$18)*E107</f>
        <v>0</v>
      </c>
    </row>
    <row r="108" spans="2:7">
      <c r="B108" s="8"/>
      <c r="C108" s="282" t="str">
        <f>$C$20</f>
        <v>Volumoso 8</v>
      </c>
      <c r="D108" s="282"/>
      <c r="E108" s="255">
        <v>0</v>
      </c>
      <c r="F108" s="145">
        <v>0</v>
      </c>
      <c r="G108" s="134">
        <f>(12/'CUSTOS ANUAIS'!$N$18)*E108</f>
        <v>0</v>
      </c>
    </row>
    <row r="109" spans="2:7">
      <c r="B109" s="8"/>
      <c r="C109" s="282" t="str">
        <f>$C$21</f>
        <v>Volumoso 9</v>
      </c>
      <c r="D109" s="282"/>
      <c r="E109" s="255">
        <v>0</v>
      </c>
      <c r="F109" s="145">
        <v>0</v>
      </c>
      <c r="G109" s="134">
        <f>(12/'CUSTOS ANUAIS'!$N$18)*E109</f>
        <v>0</v>
      </c>
    </row>
    <row r="110" spans="2:7" ht="18" thickBot="1">
      <c r="B110" s="8"/>
      <c r="C110" s="282" t="str">
        <f>$C$61</f>
        <v>Concentrado adultos</v>
      </c>
      <c r="D110" s="282"/>
      <c r="E110" s="255">
        <v>0</v>
      </c>
      <c r="F110" s="145">
        <v>0</v>
      </c>
      <c r="G110" s="147">
        <f>(12/'CUSTOS ANUAIS'!$N$18)*E110</f>
        <v>0</v>
      </c>
    </row>
    <row r="111" spans="2:7">
      <c r="B111" s="148" t="s">
        <v>28</v>
      </c>
      <c r="C111" s="291" t="str">
        <f>$C$11</f>
        <v>Sal mineral</v>
      </c>
      <c r="D111" s="291"/>
      <c r="E111" s="149">
        <v>0</v>
      </c>
      <c r="F111" s="150">
        <v>2.5000000000000001E-2</v>
      </c>
      <c r="G111" s="134">
        <f>(12/'CUSTOS ANUAIS'!$N$18)*E111</f>
        <v>0</v>
      </c>
    </row>
    <row r="112" spans="2:7">
      <c r="B112" s="8"/>
      <c r="C112" s="282" t="str">
        <f>$C$12</f>
        <v>Pastagem</v>
      </c>
      <c r="D112" s="282"/>
      <c r="E112" s="255">
        <v>0</v>
      </c>
      <c r="F112" s="145">
        <v>0</v>
      </c>
      <c r="G112" s="134">
        <f>(12/'CUSTOS ANUAIS'!$N$18)*E112</f>
        <v>0</v>
      </c>
    </row>
    <row r="113" spans="2:9">
      <c r="B113" s="144"/>
      <c r="C113" s="282" t="str">
        <f>$C$13</f>
        <v>Volumoso 1</v>
      </c>
      <c r="D113" s="282"/>
      <c r="E113" s="255">
        <v>0</v>
      </c>
      <c r="F113" s="145">
        <v>0</v>
      </c>
      <c r="G113" s="134">
        <f>(12/'CUSTOS ANUAIS'!$N$18)*E113</f>
        <v>0</v>
      </c>
    </row>
    <row r="114" spans="2:9">
      <c r="B114" s="144"/>
      <c r="C114" s="282" t="str">
        <f>$C$14</f>
        <v>Volumoso 2</v>
      </c>
      <c r="D114" s="282"/>
      <c r="E114" s="255">
        <v>0</v>
      </c>
      <c r="F114" s="145">
        <v>0</v>
      </c>
      <c r="G114" s="134">
        <f>(12/'CUSTOS ANUAIS'!$N$18)*E114</f>
        <v>0</v>
      </c>
    </row>
    <row r="115" spans="2:9">
      <c r="B115" s="8"/>
      <c r="C115" s="282" t="str">
        <f>$C$15</f>
        <v>Volumoso 3</v>
      </c>
      <c r="D115" s="282"/>
      <c r="E115" s="255">
        <v>0</v>
      </c>
      <c r="F115" s="145">
        <v>0</v>
      </c>
      <c r="G115" s="134">
        <f>(12/'CUSTOS ANUAIS'!$N$18)*E115</f>
        <v>0</v>
      </c>
    </row>
    <row r="116" spans="2:9">
      <c r="B116" s="8"/>
      <c r="C116" s="282" t="str">
        <f>$C$16</f>
        <v>Volumoso 4</v>
      </c>
      <c r="D116" s="282"/>
      <c r="E116" s="255">
        <v>0</v>
      </c>
      <c r="F116" s="145">
        <v>0</v>
      </c>
      <c r="G116" s="134">
        <f>(12/'CUSTOS ANUAIS'!$N$18)*E116</f>
        <v>0</v>
      </c>
    </row>
    <row r="117" spans="2:9">
      <c r="B117" s="8"/>
      <c r="C117" s="282" t="str">
        <f>$C$17</f>
        <v>Volumoso 5</v>
      </c>
      <c r="D117" s="282"/>
      <c r="E117" s="255">
        <v>0</v>
      </c>
      <c r="F117" s="145">
        <v>0</v>
      </c>
      <c r="G117" s="134">
        <f>(12/'CUSTOS ANUAIS'!$N$18)*E117</f>
        <v>0</v>
      </c>
    </row>
    <row r="118" spans="2:9">
      <c r="B118" s="8"/>
      <c r="C118" s="282" t="str">
        <f>$C$18</f>
        <v>Volumoso 6</v>
      </c>
      <c r="D118" s="282"/>
      <c r="E118" s="255">
        <v>0</v>
      </c>
      <c r="F118" s="145">
        <v>0</v>
      </c>
      <c r="G118" s="134">
        <f>(12/'CUSTOS ANUAIS'!$N$18)*E118</f>
        <v>0</v>
      </c>
    </row>
    <row r="119" spans="2:9">
      <c r="B119" s="8"/>
      <c r="C119" s="282" t="str">
        <f>$C$19</f>
        <v>Volumoso 7</v>
      </c>
      <c r="D119" s="282"/>
      <c r="E119" s="255">
        <v>0</v>
      </c>
      <c r="F119" s="145">
        <v>0</v>
      </c>
      <c r="G119" s="134">
        <f>(12/'CUSTOS ANUAIS'!$N$18)*E119</f>
        <v>0</v>
      </c>
    </row>
    <row r="120" spans="2:9">
      <c r="B120" s="8"/>
      <c r="C120" s="282" t="str">
        <f>$C$20</f>
        <v>Volumoso 8</v>
      </c>
      <c r="D120" s="282"/>
      <c r="E120" s="255">
        <v>0</v>
      </c>
      <c r="F120" s="145">
        <v>0</v>
      </c>
      <c r="G120" s="134">
        <f>(12/'CUSTOS ANUAIS'!$N$18)*E120</f>
        <v>0</v>
      </c>
    </row>
    <row r="121" spans="2:9">
      <c r="B121" s="8"/>
      <c r="C121" s="282" t="str">
        <f>$C$21</f>
        <v>Volumoso 9</v>
      </c>
      <c r="D121" s="282"/>
      <c r="E121" s="255">
        <v>0</v>
      </c>
      <c r="F121" s="145">
        <v>0</v>
      </c>
      <c r="G121" s="134">
        <f>(12/'CUSTOS ANUAIS'!$N$18)*E121</f>
        <v>0</v>
      </c>
    </row>
    <row r="122" spans="2:9" ht="18" thickBot="1">
      <c r="B122" s="18"/>
      <c r="C122" s="283" t="str">
        <f>$C$61</f>
        <v>Concentrado adultos</v>
      </c>
      <c r="D122" s="283"/>
      <c r="E122" s="256">
        <v>0</v>
      </c>
      <c r="F122" s="146">
        <v>0</v>
      </c>
      <c r="G122" s="147">
        <f>(12/'CUSTOS ANUAIS'!$N$18)*E122</f>
        <v>0</v>
      </c>
      <c r="H122" s="48"/>
      <c r="I122" s="48"/>
    </row>
    <row r="123" spans="2:9">
      <c r="B123" s="292" t="s">
        <v>29</v>
      </c>
      <c r="C123" s="292"/>
      <c r="D123" s="292"/>
      <c r="E123" s="292"/>
      <c r="F123" s="292"/>
      <c r="G123" s="293"/>
    </row>
    <row r="124" spans="2:9" ht="33" customHeight="1">
      <c r="B124" s="294" t="s">
        <v>30</v>
      </c>
      <c r="C124" s="294"/>
      <c r="D124" s="294"/>
      <c r="E124" s="294"/>
      <c r="F124" s="294"/>
      <c r="G124" s="294"/>
    </row>
    <row r="125" spans="2:9" ht="34.5" customHeight="1">
      <c r="B125" s="296" t="s">
        <v>31</v>
      </c>
      <c r="C125" s="296"/>
      <c r="D125" s="296"/>
      <c r="E125" s="296"/>
      <c r="F125" s="296"/>
      <c r="G125" s="296"/>
    </row>
    <row r="126" spans="2:9">
      <c r="B126" s="261"/>
      <c r="C126" s="261"/>
      <c r="D126" s="261"/>
      <c r="E126" s="261"/>
      <c r="F126" s="261"/>
      <c r="G126" s="261"/>
    </row>
    <row r="127" spans="2:9">
      <c r="B127" s="261"/>
      <c r="C127" s="261"/>
      <c r="D127" s="261"/>
      <c r="E127" s="261"/>
      <c r="F127" s="261"/>
      <c r="G127" s="261"/>
    </row>
    <row r="128" spans="2:9">
      <c r="B128" s="280" t="s">
        <v>32</v>
      </c>
      <c r="C128" s="280"/>
      <c r="D128" s="280"/>
      <c r="E128" s="280"/>
      <c r="F128" s="280"/>
    </row>
    <row r="129" spans="2:7" ht="9.9499999999999993" customHeight="1"/>
    <row r="130" spans="2:7" ht="33.75" customHeight="1">
      <c r="B130" s="157"/>
      <c r="C130" s="286" t="s">
        <v>33</v>
      </c>
      <c r="D130" s="286"/>
      <c r="E130" s="158" t="s">
        <v>34</v>
      </c>
      <c r="F130" s="159" t="s">
        <v>35</v>
      </c>
      <c r="G130" s="160" t="s">
        <v>36</v>
      </c>
    </row>
    <row r="131" spans="2:7" ht="34.5">
      <c r="B131" s="161" t="s">
        <v>37</v>
      </c>
      <c r="C131" s="297"/>
      <c r="D131" s="297"/>
      <c r="E131" s="48"/>
      <c r="F131" s="162"/>
      <c r="G131" s="163" t="s">
        <v>38</v>
      </c>
    </row>
    <row r="132" spans="2:7">
      <c r="B132" s="164" t="s">
        <v>39</v>
      </c>
      <c r="C132" s="295">
        <v>2</v>
      </c>
      <c r="D132" s="295"/>
      <c r="E132" s="246" t="s">
        <v>40</v>
      </c>
      <c r="F132" s="106">
        <f>(12/'CUSTOS ANUAIS'!$N$18)</f>
        <v>1.2</v>
      </c>
      <c r="G132" s="165">
        <f>C132*F132</f>
        <v>2.4</v>
      </c>
    </row>
    <row r="133" spans="2:7">
      <c r="B133" s="164" t="s">
        <v>523</v>
      </c>
      <c r="C133" s="295">
        <v>1</v>
      </c>
      <c r="D133" s="295"/>
      <c r="E133" s="246" t="s">
        <v>40</v>
      </c>
      <c r="F133" s="106">
        <f>(12/'CUSTOS ANUAIS'!$N$18)</f>
        <v>1.2</v>
      </c>
      <c r="G133" s="165">
        <f>C133*F133</f>
        <v>1.2</v>
      </c>
    </row>
    <row r="134" spans="2:7">
      <c r="B134" s="164" t="s">
        <v>41</v>
      </c>
      <c r="C134" s="295">
        <v>1</v>
      </c>
      <c r="D134" s="295"/>
      <c r="E134" s="246" t="s">
        <v>40</v>
      </c>
      <c r="F134" s="106">
        <f>(12/'CUSTOS ANUAIS'!$N$18)</f>
        <v>1.2</v>
      </c>
      <c r="G134" s="165">
        <f>C134*F134</f>
        <v>1.2</v>
      </c>
    </row>
    <row r="135" spans="2:7">
      <c r="B135" s="164" t="s">
        <v>42</v>
      </c>
      <c r="C135" s="295">
        <v>1</v>
      </c>
      <c r="D135" s="295"/>
      <c r="E135" s="246" t="s">
        <v>40</v>
      </c>
      <c r="F135" s="106">
        <f>(12/'CUSTOS ANUAIS'!$N$18)</f>
        <v>1.2</v>
      </c>
      <c r="G135" s="165">
        <f>C135*F135</f>
        <v>1.2</v>
      </c>
    </row>
    <row r="136" spans="2:7" ht="34.5">
      <c r="B136" s="369" t="s">
        <v>363</v>
      </c>
      <c r="C136" s="166"/>
      <c r="D136" s="166"/>
      <c r="E136" s="246"/>
      <c r="F136" s="106"/>
      <c r="G136" s="167" t="s">
        <v>38</v>
      </c>
    </row>
    <row r="137" spans="2:7">
      <c r="B137" s="164" t="s">
        <v>39</v>
      </c>
      <c r="C137" s="295">
        <v>0</v>
      </c>
      <c r="D137" s="295"/>
      <c r="E137" s="246" t="s">
        <v>40</v>
      </c>
      <c r="F137" s="106">
        <f>(12/'CUSTOS ANUAIS'!$N$18)</f>
        <v>1.2</v>
      </c>
      <c r="G137" s="165">
        <f>C137*F137</f>
        <v>0</v>
      </c>
    </row>
    <row r="138" spans="2:7">
      <c r="B138" s="164" t="s">
        <v>523</v>
      </c>
      <c r="C138" s="295">
        <v>0</v>
      </c>
      <c r="D138" s="295"/>
      <c r="E138" s="246" t="s">
        <v>40</v>
      </c>
      <c r="F138" s="106">
        <f>(12/'CUSTOS ANUAIS'!$N$18)</f>
        <v>1.2</v>
      </c>
      <c r="G138" s="165">
        <f>C138*F138</f>
        <v>0</v>
      </c>
    </row>
    <row r="139" spans="2:7">
      <c r="B139" s="164" t="s">
        <v>41</v>
      </c>
      <c r="C139" s="295">
        <v>0</v>
      </c>
      <c r="D139" s="295"/>
      <c r="E139" s="246" t="s">
        <v>40</v>
      </c>
      <c r="F139" s="106">
        <f>(12/'CUSTOS ANUAIS'!$N$18)</f>
        <v>1.2</v>
      </c>
      <c r="G139" s="165">
        <f>C139*F139</f>
        <v>0</v>
      </c>
    </row>
    <row r="140" spans="2:7">
      <c r="B140" s="164" t="s">
        <v>42</v>
      </c>
      <c r="C140" s="295">
        <v>0</v>
      </c>
      <c r="D140" s="295"/>
      <c r="E140" s="246" t="s">
        <v>40</v>
      </c>
      <c r="F140" s="106">
        <f>(12/'CUSTOS ANUAIS'!$N$18)</f>
        <v>1.2</v>
      </c>
      <c r="G140" s="165">
        <f>C140*F140</f>
        <v>0</v>
      </c>
    </row>
    <row r="141" spans="2:7" ht="34.5">
      <c r="B141" s="369" t="s">
        <v>364</v>
      </c>
      <c r="C141" s="383"/>
      <c r="D141" s="383"/>
      <c r="E141" s="246"/>
      <c r="F141" s="106"/>
      <c r="G141" s="167" t="s">
        <v>38</v>
      </c>
    </row>
    <row r="142" spans="2:7">
      <c r="B142" s="164" t="s">
        <v>39</v>
      </c>
      <c r="C142" s="295">
        <v>2</v>
      </c>
      <c r="D142" s="295"/>
      <c r="E142" s="246" t="s">
        <v>40</v>
      </c>
      <c r="F142" s="106">
        <f>(12/'CUSTOS ANUAIS'!$N$18)</f>
        <v>1.2</v>
      </c>
      <c r="G142" s="165">
        <f>C142*F142</f>
        <v>2.4</v>
      </c>
    </row>
    <row r="143" spans="2:7">
      <c r="B143" s="164" t="s">
        <v>523</v>
      </c>
      <c r="C143" s="295">
        <v>0</v>
      </c>
      <c r="D143" s="295"/>
      <c r="E143" s="246" t="s">
        <v>40</v>
      </c>
      <c r="F143" s="106">
        <f>(12/'CUSTOS ANUAIS'!$N$18)</f>
        <v>1.2</v>
      </c>
      <c r="G143" s="165">
        <f>C143*F143</f>
        <v>0</v>
      </c>
    </row>
    <row r="144" spans="2:7">
      <c r="B144" s="164" t="s">
        <v>41</v>
      </c>
      <c r="C144" s="295">
        <v>1</v>
      </c>
      <c r="D144" s="295"/>
      <c r="E144" s="246" t="s">
        <v>40</v>
      </c>
      <c r="F144" s="106">
        <f>(12/'CUSTOS ANUAIS'!$N$18)</f>
        <v>1.2</v>
      </c>
      <c r="G144" s="165">
        <f>C144*F144</f>
        <v>1.2</v>
      </c>
    </row>
    <row r="145" spans="2:7">
      <c r="B145" s="164" t="s">
        <v>42</v>
      </c>
      <c r="C145" s="295">
        <v>1</v>
      </c>
      <c r="D145" s="295"/>
      <c r="E145" s="246" t="s">
        <v>40</v>
      </c>
      <c r="F145" s="106">
        <f>(12/'CUSTOS ANUAIS'!$N$18)</f>
        <v>1.2</v>
      </c>
      <c r="G145" s="165">
        <f>C145*F145</f>
        <v>1.2</v>
      </c>
    </row>
    <row r="146" spans="2:7" ht="26.25" customHeight="1">
      <c r="B146" s="369" t="s">
        <v>365</v>
      </c>
      <c r="C146" s="166"/>
      <c r="D146" s="166"/>
      <c r="E146" s="246"/>
      <c r="F146" s="106"/>
      <c r="G146" s="167" t="s">
        <v>38</v>
      </c>
    </row>
    <row r="147" spans="2:7">
      <c r="B147" s="164" t="s">
        <v>39</v>
      </c>
      <c r="C147" s="295">
        <v>0</v>
      </c>
      <c r="D147" s="295"/>
      <c r="E147" s="246" t="s">
        <v>40</v>
      </c>
      <c r="F147" s="106">
        <f>(12/'CUSTOS ANUAIS'!$N$18)</f>
        <v>1.2</v>
      </c>
      <c r="G147" s="165">
        <f>C147*F147</f>
        <v>0</v>
      </c>
    </row>
    <row r="148" spans="2:7">
      <c r="B148" s="164" t="s">
        <v>523</v>
      </c>
      <c r="C148" s="295">
        <v>0</v>
      </c>
      <c r="D148" s="295"/>
      <c r="E148" s="246" t="s">
        <v>40</v>
      </c>
      <c r="F148" s="106">
        <f>(12/'CUSTOS ANUAIS'!$N$18)</f>
        <v>1.2</v>
      </c>
      <c r="G148" s="165">
        <f>C148*F148</f>
        <v>0</v>
      </c>
    </row>
    <row r="149" spans="2:7">
      <c r="B149" s="164" t="s">
        <v>41</v>
      </c>
      <c r="C149" s="295">
        <v>0</v>
      </c>
      <c r="D149" s="295"/>
      <c r="E149" s="246" t="s">
        <v>40</v>
      </c>
      <c r="F149" s="106">
        <f>(12/'CUSTOS ANUAIS'!$N$18)</f>
        <v>1.2</v>
      </c>
      <c r="G149" s="165">
        <f>C149*F149</f>
        <v>0</v>
      </c>
    </row>
    <row r="150" spans="2:7">
      <c r="B150" s="164" t="s">
        <v>42</v>
      </c>
      <c r="C150" s="295">
        <v>0</v>
      </c>
      <c r="D150" s="295"/>
      <c r="E150" s="246" t="s">
        <v>40</v>
      </c>
      <c r="F150" s="106">
        <f>(12/'CUSTOS ANUAIS'!$N$18)</f>
        <v>1.2</v>
      </c>
      <c r="G150" s="165">
        <f>C150*F150</f>
        <v>0</v>
      </c>
    </row>
    <row r="151" spans="2:7" ht="34.5">
      <c r="B151" s="369" t="s">
        <v>366</v>
      </c>
      <c r="C151" s="383"/>
      <c r="D151" s="383"/>
      <c r="E151" s="246"/>
      <c r="F151" s="106"/>
      <c r="G151" s="167" t="s">
        <v>38</v>
      </c>
    </row>
    <row r="152" spans="2:7">
      <c r="B152" s="164" t="s">
        <v>39</v>
      </c>
      <c r="C152" s="295">
        <v>1</v>
      </c>
      <c r="D152" s="295"/>
      <c r="E152" s="246" t="s">
        <v>40</v>
      </c>
      <c r="F152" s="106">
        <f>(12/'CUSTOS ANUAIS'!$N$18)</f>
        <v>1.2</v>
      </c>
      <c r="G152" s="165">
        <f>C152*F152</f>
        <v>1.2</v>
      </c>
    </row>
    <row r="153" spans="2:7">
      <c r="B153" s="164" t="s">
        <v>523</v>
      </c>
      <c r="C153" s="295">
        <v>0</v>
      </c>
      <c r="D153" s="295"/>
      <c r="E153" s="246" t="s">
        <v>40</v>
      </c>
      <c r="F153" s="106">
        <f>(12/'CUSTOS ANUAIS'!$N$18)</f>
        <v>1.2</v>
      </c>
      <c r="G153" s="165">
        <f>C153*F153</f>
        <v>0</v>
      </c>
    </row>
    <row r="154" spans="2:7">
      <c r="B154" s="164" t="s">
        <v>41</v>
      </c>
      <c r="C154" s="295">
        <v>0</v>
      </c>
      <c r="D154" s="295"/>
      <c r="E154" s="246" t="s">
        <v>40</v>
      </c>
      <c r="F154" s="106">
        <f>(12/'CUSTOS ANUAIS'!$N$18)</f>
        <v>1.2</v>
      </c>
      <c r="G154" s="165">
        <f>C154*F154</f>
        <v>0</v>
      </c>
    </row>
    <row r="155" spans="2:7">
      <c r="B155" s="164" t="s">
        <v>42</v>
      </c>
      <c r="C155" s="295">
        <v>0</v>
      </c>
      <c r="D155" s="295"/>
      <c r="E155" s="246" t="s">
        <v>40</v>
      </c>
      <c r="F155" s="106">
        <f>(12/'CUSTOS ANUAIS'!$N$18)</f>
        <v>1.2</v>
      </c>
      <c r="G155" s="165">
        <f>C155*F155</f>
        <v>0</v>
      </c>
    </row>
    <row r="156" spans="2:7" ht="36" customHeight="1">
      <c r="B156" s="369" t="s">
        <v>368</v>
      </c>
      <c r="C156" s="168"/>
      <c r="D156" s="169"/>
      <c r="E156" s="246"/>
      <c r="F156" s="106"/>
      <c r="G156" s="170" t="s">
        <v>43</v>
      </c>
    </row>
    <row r="157" spans="2:7">
      <c r="B157" s="164" t="s">
        <v>39</v>
      </c>
      <c r="C157" s="295">
        <v>2</v>
      </c>
      <c r="D157" s="295"/>
      <c r="E157" s="171">
        <v>1</v>
      </c>
      <c r="F157" s="106">
        <f>(12/'CUSTOS ANUAIS'!$N$18)</f>
        <v>1.2</v>
      </c>
      <c r="G157" s="165">
        <f>(C157*E157)*F157</f>
        <v>2.4</v>
      </c>
    </row>
    <row r="158" spans="2:7">
      <c r="B158" s="164" t="s">
        <v>523</v>
      </c>
      <c r="C158" s="295">
        <v>1</v>
      </c>
      <c r="D158" s="295"/>
      <c r="E158" s="171">
        <v>1</v>
      </c>
      <c r="F158" s="106">
        <f>(12/'CUSTOS ANUAIS'!$N$18)</f>
        <v>1.2</v>
      </c>
      <c r="G158" s="165">
        <f>(C158*E158)*F158</f>
        <v>1.2</v>
      </c>
    </row>
    <row r="159" spans="2:7">
      <c r="B159" s="164" t="s">
        <v>41</v>
      </c>
      <c r="C159" s="295">
        <v>4</v>
      </c>
      <c r="D159" s="295"/>
      <c r="E159" s="171">
        <v>1.5</v>
      </c>
      <c r="F159" s="106">
        <f>(12/'CUSTOS ANUAIS'!$N$18)</f>
        <v>1.2</v>
      </c>
      <c r="G159" s="165">
        <f>(C159*E159)*F159</f>
        <v>7.1999999999999993</v>
      </c>
    </row>
    <row r="160" spans="2:7">
      <c r="B160" s="164" t="s">
        <v>42</v>
      </c>
      <c r="C160" s="295">
        <v>4</v>
      </c>
      <c r="D160" s="295"/>
      <c r="E160" s="171">
        <v>3</v>
      </c>
      <c r="F160" s="106">
        <f>(12/'CUSTOS ANUAIS'!$N$18)</f>
        <v>1.2</v>
      </c>
      <c r="G160" s="165">
        <f>(C160*E160)*F160</f>
        <v>14.399999999999999</v>
      </c>
    </row>
    <row r="161" spans="2:7" ht="36" customHeight="1">
      <c r="B161" s="369" t="s">
        <v>369</v>
      </c>
      <c r="C161" s="168"/>
      <c r="D161" s="169"/>
      <c r="E161" s="246"/>
      <c r="F161" s="106"/>
      <c r="G161" s="170" t="s">
        <v>43</v>
      </c>
    </row>
    <row r="162" spans="2:7">
      <c r="B162" s="164" t="s">
        <v>39</v>
      </c>
      <c r="C162" s="295">
        <v>2</v>
      </c>
      <c r="D162" s="295"/>
      <c r="E162" s="171">
        <v>1</v>
      </c>
      <c r="F162" s="106">
        <f>(12/'CUSTOS ANUAIS'!$N$18)</f>
        <v>1.2</v>
      </c>
      <c r="G162" s="165">
        <f>(C162*E162)*F162</f>
        <v>2.4</v>
      </c>
    </row>
    <row r="163" spans="2:7">
      <c r="B163" s="164" t="s">
        <v>523</v>
      </c>
      <c r="C163" s="295">
        <v>1</v>
      </c>
      <c r="D163" s="295"/>
      <c r="E163" s="171">
        <v>1</v>
      </c>
      <c r="F163" s="106">
        <f>(12/'CUSTOS ANUAIS'!$N$18)</f>
        <v>1.2</v>
      </c>
      <c r="G163" s="165">
        <f>(C163*E163)*F163</f>
        <v>1.2</v>
      </c>
    </row>
    <row r="164" spans="2:7">
      <c r="B164" s="164" t="s">
        <v>41</v>
      </c>
      <c r="C164" s="295">
        <v>4</v>
      </c>
      <c r="D164" s="295"/>
      <c r="E164" s="171">
        <v>1.5</v>
      </c>
      <c r="F164" s="106">
        <f>(12/'CUSTOS ANUAIS'!$N$18)</f>
        <v>1.2</v>
      </c>
      <c r="G164" s="165">
        <f>(C164*E164)*F164</f>
        <v>7.1999999999999993</v>
      </c>
    </row>
    <row r="165" spans="2:7">
      <c r="B165" s="164" t="s">
        <v>42</v>
      </c>
      <c r="C165" s="295">
        <v>4</v>
      </c>
      <c r="D165" s="295"/>
      <c r="E165" s="171">
        <v>3</v>
      </c>
      <c r="F165" s="106">
        <f>(12/'CUSTOS ANUAIS'!$N$18)</f>
        <v>1.2</v>
      </c>
      <c r="G165" s="165">
        <f>(C165*E165)*F165</f>
        <v>14.399999999999999</v>
      </c>
    </row>
    <row r="166" spans="2:7" ht="36" customHeight="1">
      <c r="B166" s="369" t="s">
        <v>367</v>
      </c>
      <c r="C166" s="168"/>
      <c r="D166" s="169"/>
      <c r="E166" s="246"/>
      <c r="F166" s="106"/>
      <c r="G166" s="170" t="s">
        <v>43</v>
      </c>
    </row>
    <row r="167" spans="2:7">
      <c r="B167" s="164" t="s">
        <v>39</v>
      </c>
      <c r="C167" s="295">
        <v>2</v>
      </c>
      <c r="D167" s="295"/>
      <c r="E167" s="171">
        <v>1</v>
      </c>
      <c r="F167" s="106">
        <f>(12/'CUSTOS ANUAIS'!$N$18)</f>
        <v>1.2</v>
      </c>
      <c r="G167" s="165">
        <f>(C167*E167)*F167</f>
        <v>2.4</v>
      </c>
    </row>
    <row r="168" spans="2:7">
      <c r="B168" s="164" t="s">
        <v>523</v>
      </c>
      <c r="C168" s="295">
        <v>1</v>
      </c>
      <c r="D168" s="295"/>
      <c r="E168" s="171">
        <v>1</v>
      </c>
      <c r="F168" s="106">
        <f>(12/'CUSTOS ANUAIS'!$N$18)</f>
        <v>1.2</v>
      </c>
      <c r="G168" s="165">
        <f>(C168*E168)*F168</f>
        <v>1.2</v>
      </c>
    </row>
    <row r="169" spans="2:7">
      <c r="B169" s="164" t="s">
        <v>41</v>
      </c>
      <c r="C169" s="295">
        <v>4</v>
      </c>
      <c r="D169" s="295"/>
      <c r="E169" s="171">
        <v>1.5</v>
      </c>
      <c r="F169" s="106">
        <f>(12/'CUSTOS ANUAIS'!$N$18)</f>
        <v>1.2</v>
      </c>
      <c r="G169" s="165">
        <f>(C169*E169)*F169</f>
        <v>7.1999999999999993</v>
      </c>
    </row>
    <row r="170" spans="2:7">
      <c r="B170" s="164" t="s">
        <v>42</v>
      </c>
      <c r="C170" s="295">
        <v>4</v>
      </c>
      <c r="D170" s="295"/>
      <c r="E170" s="171">
        <v>3</v>
      </c>
      <c r="F170" s="106">
        <f>(12/'CUSTOS ANUAIS'!$N$18)</f>
        <v>1.2</v>
      </c>
      <c r="G170" s="165">
        <f>(C170*E170)*F170</f>
        <v>14.399999999999999</v>
      </c>
    </row>
    <row r="171" spans="2:7" ht="27.75" customHeight="1">
      <c r="B171" s="369" t="s">
        <v>405</v>
      </c>
      <c r="C171" s="172"/>
      <c r="D171" s="172"/>
      <c r="E171" s="246"/>
      <c r="F171" s="106"/>
      <c r="G171" s="170" t="s">
        <v>43</v>
      </c>
    </row>
    <row r="172" spans="2:7">
      <c r="B172" s="164" t="s">
        <v>39</v>
      </c>
      <c r="C172" s="295">
        <v>0</v>
      </c>
      <c r="D172" s="295"/>
      <c r="E172" s="255">
        <v>0</v>
      </c>
      <c r="F172" s="106">
        <f>(12/'CUSTOS ANUAIS'!$N$18)</f>
        <v>1.2</v>
      </c>
      <c r="G172" s="165">
        <f>(C172*E172)*F172</f>
        <v>0</v>
      </c>
    </row>
    <row r="173" spans="2:7">
      <c r="B173" s="164" t="s">
        <v>523</v>
      </c>
      <c r="C173" s="295">
        <v>1</v>
      </c>
      <c r="D173" s="295"/>
      <c r="E173" s="255">
        <v>1</v>
      </c>
      <c r="F173" s="106">
        <f>(12/'CUSTOS ANUAIS'!$N$18)</f>
        <v>1.2</v>
      </c>
      <c r="G173" s="165">
        <f>(C173*E173)*F173</f>
        <v>1.2</v>
      </c>
    </row>
    <row r="174" spans="2:7">
      <c r="B174" s="164" t="s">
        <v>41</v>
      </c>
      <c r="C174" s="295">
        <v>0</v>
      </c>
      <c r="D174" s="295"/>
      <c r="E174" s="255">
        <v>0</v>
      </c>
      <c r="F174" s="106">
        <f>(12/'CUSTOS ANUAIS'!$N$18)</f>
        <v>1.2</v>
      </c>
      <c r="G174" s="165">
        <f>(C174*E174)*F174</f>
        <v>0</v>
      </c>
    </row>
    <row r="175" spans="2:7">
      <c r="B175" s="18" t="s">
        <v>44</v>
      </c>
      <c r="C175" s="300">
        <v>0</v>
      </c>
      <c r="D175" s="300"/>
      <c r="E175" s="256">
        <v>0</v>
      </c>
      <c r="F175" s="125">
        <f>(12/'CUSTOS ANUAIS'!$N$18)</f>
        <v>1.2</v>
      </c>
      <c r="G175" s="173">
        <f>(C175*E175)*F175</f>
        <v>0</v>
      </c>
    </row>
    <row r="176" spans="2:7">
      <c r="B176" s="97"/>
    </row>
    <row r="177" spans="2:12">
      <c r="B177" s="97"/>
    </row>
    <row r="178" spans="2:12">
      <c r="B178" s="301" t="s">
        <v>45</v>
      </c>
      <c r="C178" s="301"/>
      <c r="D178" s="301"/>
      <c r="E178" s="301"/>
    </row>
    <row r="179" spans="2:12" ht="9.9499999999999993" customHeight="1">
      <c r="B179" s="174"/>
      <c r="C179" s="174"/>
      <c r="D179" s="174"/>
      <c r="E179" s="174"/>
    </row>
    <row r="180" spans="2:12">
      <c r="B180" s="25"/>
      <c r="C180" s="26"/>
      <c r="D180" s="26"/>
      <c r="E180" s="269" t="s">
        <v>46</v>
      </c>
      <c r="F180" s="159" t="s">
        <v>35</v>
      </c>
      <c r="G180" s="269" t="s">
        <v>47</v>
      </c>
    </row>
    <row r="181" spans="2:12">
      <c r="B181" s="175" t="s">
        <v>48</v>
      </c>
      <c r="C181" s="176"/>
      <c r="D181" s="176"/>
      <c r="E181" s="65">
        <v>0</v>
      </c>
      <c r="F181" s="106">
        <f>(12/'CUSTOS ANUAIS'!$N$18)</f>
        <v>1.2</v>
      </c>
      <c r="G181" s="154">
        <f>E181*F181</f>
        <v>0</v>
      </c>
    </row>
    <row r="182" spans="2:12">
      <c r="B182" s="177" t="s">
        <v>49</v>
      </c>
      <c r="C182" s="178"/>
      <c r="D182" s="178"/>
      <c r="E182" s="179">
        <v>0</v>
      </c>
      <c r="F182" s="125">
        <f>(12/'CUSTOS ANUAIS'!$N$18)</f>
        <v>1.2</v>
      </c>
      <c r="G182" s="180">
        <f>E182*F182</f>
        <v>0</v>
      </c>
    </row>
    <row r="183" spans="2:12">
      <c r="B183" s="97"/>
    </row>
    <row r="184" spans="2:12">
      <c r="B184" s="97"/>
    </row>
    <row r="185" spans="2:12">
      <c r="B185" s="280" t="s">
        <v>423</v>
      </c>
      <c r="C185" s="280"/>
      <c r="D185" s="280"/>
      <c r="E185" s="280"/>
    </row>
    <row r="186" spans="2:12" ht="9" customHeight="1" thickBot="1">
      <c r="B186" s="97"/>
      <c r="D186" s="254"/>
    </row>
    <row r="187" spans="2:12" ht="18" customHeight="1" thickBot="1">
      <c r="B187" s="238"/>
      <c r="C187" s="252"/>
      <c r="D187" s="205"/>
      <c r="E187" s="269" t="s">
        <v>428</v>
      </c>
      <c r="F187" s="235" t="s">
        <v>35</v>
      </c>
      <c r="G187" s="6" t="s">
        <v>438</v>
      </c>
      <c r="J187" s="285" t="s">
        <v>463</v>
      </c>
      <c r="K187" s="286"/>
      <c r="L187" s="287"/>
    </row>
    <row r="188" spans="2:12" s="96" customFormat="1" ht="18" thickBot="1">
      <c r="B188" s="304" t="s">
        <v>421</v>
      </c>
      <c r="C188" s="291"/>
      <c r="D188" s="231"/>
      <c r="E188" s="370"/>
      <c r="F188" s="102">
        <f>(12/'CUSTOS ANUAIS'!$N$18)</f>
        <v>1.2</v>
      </c>
      <c r="G188" s="222">
        <f>E188*F188</f>
        <v>0</v>
      </c>
      <c r="J188" s="1"/>
      <c r="K188" s="1"/>
      <c r="L188" s="1"/>
    </row>
    <row r="189" spans="2:12" s="96" customFormat="1">
      <c r="B189" s="303" t="s">
        <v>422</v>
      </c>
      <c r="C189" s="282"/>
      <c r="D189" s="132"/>
      <c r="E189" s="371"/>
      <c r="F189" s="106">
        <f>(12/'CUSTOS ANUAIS'!$N$18)</f>
        <v>1.2</v>
      </c>
      <c r="G189" s="236">
        <f>E189*F189</f>
        <v>0</v>
      </c>
      <c r="J189" s="278" t="s">
        <v>20</v>
      </c>
      <c r="K189" s="279"/>
      <c r="L189" s="222">
        <f>'CUSTOS ANUAIS'!N11</f>
        <v>350</v>
      </c>
    </row>
    <row r="190" spans="2:12" s="96" customFormat="1" ht="18" thickBot="1">
      <c r="B190" s="302" t="s">
        <v>429</v>
      </c>
      <c r="C190" s="283"/>
      <c r="D190" s="234"/>
      <c r="E190" s="372"/>
      <c r="F190" s="125">
        <f>(12/'CUSTOS ANUAIS'!$N$18)</f>
        <v>1.2</v>
      </c>
      <c r="G190" s="237">
        <f>E190*F190</f>
        <v>0</v>
      </c>
      <c r="J190" s="276" t="s">
        <v>342</v>
      </c>
      <c r="K190" s="277"/>
      <c r="L190" s="236">
        <f>'CUSTOS ANUAIS'!N12</f>
        <v>6</v>
      </c>
    </row>
    <row r="191" spans="2:12" ht="18" thickBot="1">
      <c r="B191" s="97"/>
      <c r="J191" s="244" t="s">
        <v>461</v>
      </c>
      <c r="K191" s="245"/>
      <c r="L191" s="237">
        <f>'CUSTOS ANUAIS'!N13</f>
        <v>408.23999999999995</v>
      </c>
    </row>
    <row r="192" spans="2:12">
      <c r="B192" s="97"/>
    </row>
    <row r="193" spans="2:7">
      <c r="B193" s="280" t="s">
        <v>50</v>
      </c>
      <c r="C193" s="280"/>
      <c r="D193" s="280"/>
      <c r="E193" s="280"/>
      <c r="F193" s="130"/>
      <c r="G193" s="130"/>
    </row>
    <row r="194" spans="2:7" ht="9.9499999999999993" customHeight="1">
      <c r="B194" s="181"/>
      <c r="C194" s="182"/>
    </row>
    <row r="195" spans="2:7">
      <c r="B195" s="3" t="s">
        <v>51</v>
      </c>
      <c r="C195" s="298" t="s">
        <v>52</v>
      </c>
      <c r="D195" s="298"/>
      <c r="E195" s="269" t="s">
        <v>53</v>
      </c>
      <c r="F195" s="8"/>
      <c r="G195" s="48"/>
    </row>
    <row r="196" spans="2:7">
      <c r="B196" s="7" t="s">
        <v>54</v>
      </c>
      <c r="E196" s="183"/>
      <c r="F196" s="15"/>
      <c r="G196" s="184"/>
    </row>
    <row r="197" spans="2:7">
      <c r="B197" s="185" t="s">
        <v>55</v>
      </c>
      <c r="C197" s="299">
        <v>4</v>
      </c>
      <c r="D197" s="299"/>
      <c r="E197" s="65">
        <v>264</v>
      </c>
    </row>
    <row r="198" spans="2:7">
      <c r="B198" s="185" t="s">
        <v>56</v>
      </c>
      <c r="C198" s="299">
        <v>0</v>
      </c>
      <c r="D198" s="299"/>
      <c r="E198" s="65">
        <v>0</v>
      </c>
    </row>
    <row r="199" spans="2:7">
      <c r="B199" s="185" t="s">
        <v>57</v>
      </c>
      <c r="C199" s="299">
        <v>0</v>
      </c>
      <c r="D199" s="299"/>
      <c r="E199" s="65">
        <v>0</v>
      </c>
    </row>
    <row r="200" spans="2:7">
      <c r="B200" s="185" t="s">
        <v>58</v>
      </c>
      <c r="C200" s="299">
        <v>0</v>
      </c>
      <c r="D200" s="299"/>
      <c r="E200" s="65">
        <v>0</v>
      </c>
    </row>
    <row r="201" spans="2:7">
      <c r="B201" s="185" t="s">
        <v>59</v>
      </c>
      <c r="C201" s="299">
        <v>0</v>
      </c>
      <c r="D201" s="299"/>
      <c r="E201" s="65">
        <v>0</v>
      </c>
    </row>
    <row r="202" spans="2:7">
      <c r="B202" s="7" t="s">
        <v>60</v>
      </c>
      <c r="E202" s="105"/>
      <c r="F202" s="15"/>
      <c r="G202" s="184"/>
    </row>
    <row r="203" spans="2:7">
      <c r="B203" s="185" t="s">
        <v>61</v>
      </c>
      <c r="C203" s="299">
        <v>8</v>
      </c>
      <c r="D203" s="299"/>
      <c r="E203" s="65">
        <v>120</v>
      </c>
    </row>
    <row r="204" spans="2:7">
      <c r="B204" s="185" t="s">
        <v>62</v>
      </c>
      <c r="C204" s="299">
        <v>0</v>
      </c>
      <c r="D204" s="299"/>
      <c r="E204" s="65">
        <v>0</v>
      </c>
    </row>
    <row r="205" spans="2:7">
      <c r="B205" s="185" t="s">
        <v>63</v>
      </c>
      <c r="C205" s="299">
        <v>0</v>
      </c>
      <c r="D205" s="299"/>
      <c r="E205" s="65">
        <v>0</v>
      </c>
    </row>
    <row r="206" spans="2:7">
      <c r="B206" s="185" t="s">
        <v>64</v>
      </c>
      <c r="C206" s="299">
        <v>0</v>
      </c>
      <c r="D206" s="299"/>
      <c r="E206" s="65">
        <v>0</v>
      </c>
    </row>
    <row r="207" spans="2:7">
      <c r="B207" s="186" t="s">
        <v>65</v>
      </c>
      <c r="C207" s="300">
        <v>0</v>
      </c>
      <c r="D207" s="300"/>
      <c r="E207" s="179">
        <v>0</v>
      </c>
      <c r="F207" s="8"/>
    </row>
    <row r="208" spans="2:7">
      <c r="B208" s="187"/>
      <c r="C208" s="187"/>
      <c r="D208" s="187"/>
      <c r="E208" s="187"/>
      <c r="F208" s="187"/>
    </row>
    <row r="210" spans="2:10">
      <c r="B210" s="301" t="s">
        <v>66</v>
      </c>
      <c r="C210" s="301"/>
      <c r="D210" s="301"/>
      <c r="E210" s="301"/>
      <c r="F210" s="188"/>
      <c r="G210" s="188"/>
      <c r="H210" s="188"/>
      <c r="I210" s="188"/>
    </row>
    <row r="211" spans="2:10" ht="9.9499999999999993" customHeight="1" thickBot="1">
      <c r="B211" s="189"/>
      <c r="C211" s="189"/>
      <c r="D211" s="189"/>
      <c r="E211" s="189"/>
      <c r="F211" s="247"/>
    </row>
    <row r="212" spans="2:10" ht="18" thickBot="1">
      <c r="B212" s="240"/>
      <c r="C212" s="305" t="s">
        <v>67</v>
      </c>
      <c r="D212" s="305"/>
      <c r="E212" s="6" t="s">
        <v>68</v>
      </c>
    </row>
    <row r="213" spans="2:10">
      <c r="B213" s="162" t="s">
        <v>69</v>
      </c>
      <c r="C213" s="306" t="s">
        <v>70</v>
      </c>
      <c r="D213" s="306"/>
      <c r="E213" s="63">
        <v>15</v>
      </c>
    </row>
    <row r="214" spans="2:10">
      <c r="B214" s="8" t="s">
        <v>71</v>
      </c>
      <c r="C214" s="307" t="s">
        <v>70</v>
      </c>
      <c r="D214" s="307"/>
      <c r="E214" s="65">
        <v>0</v>
      </c>
    </row>
    <row r="215" spans="2:10">
      <c r="B215" s="8" t="s">
        <v>72</v>
      </c>
      <c r="C215" s="307" t="s">
        <v>73</v>
      </c>
      <c r="D215" s="307"/>
      <c r="E215" s="190">
        <f>('CUSTOS ANUAIS'!N13*0.75)</f>
        <v>306.17999999999995</v>
      </c>
    </row>
    <row r="216" spans="2:10">
      <c r="B216" s="373" t="s">
        <v>456</v>
      </c>
      <c r="C216" s="307" t="s">
        <v>75</v>
      </c>
      <c r="D216" s="307"/>
      <c r="E216" s="65">
        <v>0</v>
      </c>
    </row>
    <row r="217" spans="2:10">
      <c r="B217" s="373" t="s">
        <v>457</v>
      </c>
      <c r="C217" s="307" t="s">
        <v>75</v>
      </c>
      <c r="D217" s="307"/>
      <c r="E217" s="65"/>
    </row>
    <row r="218" spans="2:10" ht="18" thickBot="1">
      <c r="B218" s="374" t="s">
        <v>458</v>
      </c>
      <c r="C218" s="308" t="s">
        <v>75</v>
      </c>
      <c r="D218" s="308"/>
      <c r="E218" s="179"/>
    </row>
    <row r="219" spans="2:10">
      <c r="C219" s="1"/>
      <c r="D219" s="1"/>
    </row>
    <row r="220" spans="2:10">
      <c r="B220" s="280" t="s">
        <v>76</v>
      </c>
      <c r="C220" s="280"/>
      <c r="D220" s="280"/>
      <c r="E220" s="280"/>
      <c r="F220" s="280"/>
      <c r="G220" s="280"/>
      <c r="H220" s="280"/>
      <c r="I220" s="280"/>
      <c r="J220" s="280"/>
    </row>
    <row r="221" spans="2:10" ht="9.9499999999999993" customHeight="1" thickBot="1"/>
    <row r="222" spans="2:10" ht="18" customHeight="1" thickBot="1">
      <c r="B222" s="191"/>
      <c r="C222" s="192" t="s">
        <v>77</v>
      </c>
      <c r="D222" s="252"/>
      <c r="E222" s="192" t="s">
        <v>78</v>
      </c>
      <c r="F222" s="257" t="s">
        <v>79</v>
      </c>
      <c r="G222" s="257" t="s">
        <v>80</v>
      </c>
      <c r="H222" s="257" t="s">
        <v>81</v>
      </c>
      <c r="I222" s="298" t="s">
        <v>82</v>
      </c>
      <c r="J222" s="314"/>
    </row>
    <row r="223" spans="2:10">
      <c r="B223" s="193" t="s">
        <v>83</v>
      </c>
      <c r="C223" s="149">
        <v>75</v>
      </c>
      <c r="E223" s="194">
        <v>0.5</v>
      </c>
      <c r="F223" s="253">
        <f t="shared" ref="F223:F228" si="0">E223*30</f>
        <v>15</v>
      </c>
      <c r="G223" s="255">
        <v>12000</v>
      </c>
      <c r="H223" s="195">
        <v>0.2</v>
      </c>
      <c r="I223" s="384"/>
      <c r="J223" s="196">
        <f>H223*'INSUMOS - PREÇOS'!F17</f>
        <v>4350</v>
      </c>
    </row>
    <row r="224" spans="2:10">
      <c r="B224" s="197" t="s">
        <v>84</v>
      </c>
      <c r="C224" s="198"/>
      <c r="E224" s="258">
        <v>0.5</v>
      </c>
      <c r="F224" s="246">
        <f t="shared" si="0"/>
        <v>15</v>
      </c>
      <c r="G224" s="255">
        <v>4000</v>
      </c>
      <c r="H224" s="195">
        <v>0.2</v>
      </c>
      <c r="I224" s="384"/>
      <c r="J224" s="199">
        <f>H224*'INSUMOS - PREÇOS'!F18</f>
        <v>925</v>
      </c>
    </row>
    <row r="225" spans="2:10">
      <c r="B225" s="197" t="s">
        <v>85</v>
      </c>
      <c r="C225" s="198"/>
      <c r="E225" s="258">
        <v>0.5</v>
      </c>
      <c r="F225" s="246">
        <f t="shared" si="0"/>
        <v>15</v>
      </c>
      <c r="G225" s="255">
        <v>500</v>
      </c>
      <c r="H225" s="195">
        <v>0.2</v>
      </c>
      <c r="I225" s="384"/>
      <c r="J225" s="199">
        <f>H225*'INSUMOS - PREÇOS'!F19</f>
        <v>1100</v>
      </c>
    </row>
    <row r="226" spans="2:10">
      <c r="B226" s="200" t="s">
        <v>86</v>
      </c>
      <c r="C226" s="15"/>
      <c r="E226" s="255">
        <v>1</v>
      </c>
      <c r="F226" s="246">
        <f t="shared" si="0"/>
        <v>30</v>
      </c>
      <c r="G226" s="255">
        <v>7500</v>
      </c>
      <c r="H226" s="195">
        <v>0</v>
      </c>
      <c r="I226" s="384"/>
      <c r="J226" s="199">
        <f>H226*'INSUMOS - PREÇOS'!F20</f>
        <v>0</v>
      </c>
    </row>
    <row r="227" spans="2:10">
      <c r="B227" s="200" t="s">
        <v>87</v>
      </c>
      <c r="C227" s="15"/>
      <c r="E227" s="255">
        <v>1</v>
      </c>
      <c r="F227" s="246">
        <f t="shared" si="0"/>
        <v>30</v>
      </c>
      <c r="G227" s="255">
        <v>15000</v>
      </c>
      <c r="H227" s="195">
        <v>0</v>
      </c>
      <c r="I227" s="384"/>
      <c r="J227" s="199">
        <f>H227*'INSUMOS - PREÇOS'!F21</f>
        <v>0</v>
      </c>
    </row>
    <row r="228" spans="2:10" ht="18" thickBot="1">
      <c r="B228" s="201" t="s">
        <v>88</v>
      </c>
      <c r="C228" s="202"/>
      <c r="E228" s="256">
        <v>1</v>
      </c>
      <c r="F228" s="246">
        <f t="shared" si="0"/>
        <v>30</v>
      </c>
      <c r="G228" s="256">
        <v>15000</v>
      </c>
      <c r="H228" s="203">
        <v>0</v>
      </c>
      <c r="I228" s="384"/>
      <c r="J228" s="199">
        <f>H228*'INSUMOS - PREÇOS'!F22</f>
        <v>0</v>
      </c>
    </row>
    <row r="229" spans="2:10" ht="18" thickBot="1">
      <c r="B229" s="204"/>
      <c r="C229" s="205"/>
      <c r="D229" s="310"/>
      <c r="E229" s="310"/>
      <c r="F229" s="205"/>
      <c r="G229" s="257" t="s">
        <v>89</v>
      </c>
      <c r="H229" s="257" t="s">
        <v>81</v>
      </c>
      <c r="I229" s="298" t="s">
        <v>82</v>
      </c>
      <c r="J229" s="314"/>
    </row>
    <row r="230" spans="2:10">
      <c r="B230" s="185" t="s">
        <v>90</v>
      </c>
      <c r="C230" s="48"/>
      <c r="D230" s="246"/>
      <c r="E230" s="246"/>
      <c r="F230" s="48"/>
      <c r="G230" s="171">
        <v>10</v>
      </c>
      <c r="H230" s="206">
        <v>0</v>
      </c>
      <c r="I230" s="385"/>
      <c r="J230" s="207">
        <f>H230*'INSUMOS - PREÇOS'!F23</f>
        <v>0</v>
      </c>
    </row>
    <row r="231" spans="2:10">
      <c r="B231" s="185" t="s">
        <v>91</v>
      </c>
      <c r="C231" s="48"/>
      <c r="D231" s="246"/>
      <c r="E231" s="246"/>
      <c r="F231" s="48"/>
      <c r="G231" s="171">
        <v>10</v>
      </c>
      <c r="H231" s="206">
        <v>0.05</v>
      </c>
      <c r="I231" s="385"/>
      <c r="J231" s="207">
        <f>H231*'INSUMOS - PREÇOS'!F24</f>
        <v>0</v>
      </c>
    </row>
    <row r="232" spans="2:10">
      <c r="B232" s="185" t="s">
        <v>92</v>
      </c>
      <c r="C232" s="48"/>
      <c r="D232" s="246"/>
      <c r="E232" s="246"/>
      <c r="F232" s="48"/>
      <c r="G232" s="171">
        <v>10</v>
      </c>
      <c r="H232" s="206">
        <v>0.05</v>
      </c>
      <c r="I232" s="385"/>
      <c r="J232" s="207">
        <f>H232*'INSUMOS - PREÇOS'!F25</f>
        <v>0</v>
      </c>
    </row>
    <row r="233" spans="2:10">
      <c r="B233" s="185" t="s">
        <v>93</v>
      </c>
      <c r="C233" s="48"/>
      <c r="D233" s="246"/>
      <c r="E233" s="246"/>
      <c r="F233" s="48"/>
      <c r="G233" s="171">
        <v>10</v>
      </c>
      <c r="H233" s="206">
        <v>0.05</v>
      </c>
      <c r="I233" s="385"/>
      <c r="J233" s="207">
        <f>H233*'INSUMOS - PREÇOS'!F26</f>
        <v>0</v>
      </c>
    </row>
    <row r="234" spans="2:10">
      <c r="B234" s="185" t="s">
        <v>94</v>
      </c>
      <c r="C234" s="48"/>
      <c r="D234" s="246"/>
      <c r="E234" s="246"/>
      <c r="F234" s="48"/>
      <c r="G234" s="171">
        <v>10</v>
      </c>
      <c r="H234" s="206">
        <v>0.05</v>
      </c>
      <c r="I234" s="385"/>
      <c r="J234" s="207">
        <f>H234*'INSUMOS - PREÇOS'!F27</f>
        <v>0</v>
      </c>
    </row>
    <row r="235" spans="2:10">
      <c r="B235" s="185" t="s">
        <v>95</v>
      </c>
      <c r="C235" s="48"/>
      <c r="D235" s="246"/>
      <c r="E235" s="246"/>
      <c r="F235" s="48"/>
      <c r="G235" s="171">
        <v>10</v>
      </c>
      <c r="H235" s="206">
        <v>0.05</v>
      </c>
      <c r="I235" s="385"/>
      <c r="J235" s="207">
        <f>H235*'INSUMOS - PREÇOS'!F28</f>
        <v>0</v>
      </c>
    </row>
    <row r="236" spans="2:10">
      <c r="B236" s="8" t="s">
        <v>72</v>
      </c>
      <c r="C236" s="246"/>
      <c r="D236" s="307"/>
      <c r="E236" s="307"/>
      <c r="F236" s="2"/>
      <c r="G236" s="255">
        <v>20</v>
      </c>
      <c r="H236" s="208">
        <v>0</v>
      </c>
      <c r="I236" s="386"/>
      <c r="J236" s="207">
        <f>H236*(E215*'INSUMOS - PREÇOS'!F12)</f>
        <v>0</v>
      </c>
    </row>
    <row r="237" spans="2:10">
      <c r="B237" s="8" t="str">
        <f>B216</f>
        <v>Cercas - tipo 1</v>
      </c>
      <c r="C237" s="246"/>
      <c r="D237" s="307"/>
      <c r="E237" s="307"/>
      <c r="F237" s="246"/>
      <c r="G237" s="255">
        <v>15</v>
      </c>
      <c r="H237" s="208">
        <v>0.1</v>
      </c>
      <c r="I237" s="386"/>
      <c r="J237" s="207">
        <f>H237*(E216*'INSUMOS - PREÇOS'!F13)</f>
        <v>0</v>
      </c>
    </row>
    <row r="238" spans="2:10">
      <c r="B238" s="8" t="str">
        <f>B217</f>
        <v>Cercas - tipo 2</v>
      </c>
      <c r="C238" s="246"/>
      <c r="D238" s="246"/>
      <c r="E238" s="246"/>
      <c r="F238" s="246"/>
      <c r="G238" s="255">
        <v>15</v>
      </c>
      <c r="H238" s="208">
        <v>0.1</v>
      </c>
      <c r="I238" s="386"/>
      <c r="J238" s="207">
        <f>H238*(E217*'INSUMOS - PREÇOS'!F14)</f>
        <v>0</v>
      </c>
    </row>
    <row r="239" spans="2:10" ht="18" thickBot="1">
      <c r="B239" s="8" t="str">
        <f>B218</f>
        <v>Cercas - tipo 3</v>
      </c>
      <c r="C239" s="246"/>
      <c r="D239" s="246"/>
      <c r="E239" s="246"/>
      <c r="F239" s="246"/>
      <c r="G239" s="255">
        <v>15</v>
      </c>
      <c r="H239" s="208">
        <v>0.1</v>
      </c>
      <c r="I239" s="386"/>
      <c r="J239" s="207">
        <f>H239*(E218*'INSUMOS - PREÇOS'!F15)</f>
        <v>0</v>
      </c>
    </row>
    <row r="240" spans="2:10" ht="18" thickBot="1">
      <c r="B240" s="204"/>
      <c r="C240" s="205"/>
      <c r="D240" s="310"/>
      <c r="E240" s="310"/>
      <c r="F240" s="205"/>
      <c r="G240" s="257" t="s">
        <v>96</v>
      </c>
      <c r="H240" s="257" t="s">
        <v>81</v>
      </c>
      <c r="I240" s="298" t="s">
        <v>82</v>
      </c>
      <c r="J240" s="314"/>
    </row>
    <row r="241" spans="2:10">
      <c r="B241" s="175" t="s">
        <v>97</v>
      </c>
      <c r="C241" s="253" t="s">
        <v>40</v>
      </c>
      <c r="D241" s="306" t="s">
        <v>40</v>
      </c>
      <c r="E241" s="306"/>
      <c r="F241" s="253" t="s">
        <v>40</v>
      </c>
      <c r="G241" s="149">
        <v>36</v>
      </c>
      <c r="H241" s="209">
        <v>0.05</v>
      </c>
      <c r="I241" s="387"/>
      <c r="J241" s="210">
        <f>H241*'INSUMOS - PREÇOS'!F31</f>
        <v>62.5</v>
      </c>
    </row>
    <row r="242" spans="2:10">
      <c r="B242" s="177" t="s">
        <v>98</v>
      </c>
      <c r="C242" s="248" t="s">
        <v>40</v>
      </c>
      <c r="D242" s="308" t="s">
        <v>40</v>
      </c>
      <c r="E242" s="308"/>
      <c r="F242" s="248" t="s">
        <v>40</v>
      </c>
      <c r="G242" s="256">
        <v>72</v>
      </c>
      <c r="H242" s="211">
        <v>0.5</v>
      </c>
      <c r="I242" s="388"/>
      <c r="J242" s="212">
        <f>H242*'INSUMOS - PREÇOS'!F32</f>
        <v>150</v>
      </c>
    </row>
    <row r="243" spans="2:10">
      <c r="B243" s="213"/>
      <c r="C243" s="15"/>
      <c r="D243" s="13"/>
      <c r="E243" s="13"/>
      <c r="F243" s="246"/>
      <c r="G243" s="13"/>
      <c r="H243" s="13"/>
      <c r="I243" s="13"/>
      <c r="J243" s="48"/>
    </row>
    <row r="244" spans="2:10">
      <c r="B244" s="213"/>
      <c r="C244" s="15"/>
      <c r="D244" s="13"/>
      <c r="E244" s="13"/>
      <c r="F244" s="246"/>
      <c r="G244" s="13"/>
      <c r="H244" s="13"/>
      <c r="I244" s="13"/>
      <c r="J244" s="48"/>
    </row>
    <row r="245" spans="2:10">
      <c r="B245" s="213"/>
      <c r="C245" s="309" t="s">
        <v>99</v>
      </c>
      <c r="D245" s="309"/>
      <c r="E245" s="309"/>
      <c r="F245" s="246"/>
      <c r="G245" s="13"/>
      <c r="H245" s="13"/>
      <c r="I245" s="13"/>
      <c r="J245" s="48"/>
    </row>
    <row r="246" spans="2:10" ht="9.75" customHeight="1" thickBot="1">
      <c r="B246" s="213"/>
      <c r="C246" s="213"/>
      <c r="D246" s="15"/>
      <c r="E246" s="13"/>
      <c r="F246" s="246"/>
      <c r="G246" s="13"/>
      <c r="H246" s="13"/>
      <c r="I246" s="13"/>
      <c r="J246" s="48"/>
    </row>
    <row r="247" spans="2:10" ht="18" thickBot="1">
      <c r="B247" s="213"/>
      <c r="C247" s="19"/>
      <c r="D247" s="241"/>
      <c r="E247" s="6" t="s">
        <v>100</v>
      </c>
      <c r="F247" s="246"/>
      <c r="G247" s="13"/>
      <c r="H247" s="13"/>
      <c r="I247" s="13"/>
      <c r="J247" s="48"/>
    </row>
    <row r="248" spans="2:10">
      <c r="B248" s="213"/>
      <c r="C248" s="304" t="s">
        <v>101</v>
      </c>
      <c r="D248" s="291"/>
      <c r="E248" s="242">
        <v>0.3</v>
      </c>
      <c r="F248" s="246"/>
      <c r="G248" s="13"/>
      <c r="H248" s="13"/>
      <c r="I248" s="13"/>
      <c r="J248" s="48"/>
    </row>
    <row r="249" spans="2:10">
      <c r="B249" s="213"/>
      <c r="C249" s="303" t="s">
        <v>72</v>
      </c>
      <c r="D249" s="282"/>
      <c r="E249" s="67">
        <v>0.15</v>
      </c>
      <c r="F249" s="246"/>
      <c r="G249" s="13"/>
      <c r="H249" s="13"/>
      <c r="I249" s="13"/>
      <c r="J249" s="48"/>
    </row>
    <row r="250" spans="2:10" ht="18" thickBot="1">
      <c r="B250" s="213"/>
      <c r="C250" s="259" t="s">
        <v>74</v>
      </c>
      <c r="D250" s="260"/>
      <c r="E250" s="214">
        <v>0.1</v>
      </c>
      <c r="F250" s="246"/>
      <c r="G250" s="13"/>
      <c r="H250" s="13"/>
      <c r="I250" s="13"/>
      <c r="J250" s="48"/>
    </row>
    <row r="251" spans="2:10">
      <c r="B251" s="213"/>
      <c r="C251" s="15"/>
      <c r="D251" s="13"/>
      <c r="E251" s="13"/>
      <c r="F251" s="246"/>
      <c r="G251" s="13"/>
      <c r="H251" s="13"/>
      <c r="I251" s="13"/>
      <c r="J251" s="48"/>
    </row>
    <row r="252" spans="2:10">
      <c r="B252" s="213"/>
      <c r="C252" s="15"/>
      <c r="D252" s="13"/>
      <c r="E252" s="13"/>
      <c r="F252" s="246"/>
      <c r="G252" s="13"/>
      <c r="H252" s="13"/>
      <c r="I252" s="13"/>
      <c r="J252" s="48"/>
    </row>
    <row r="253" spans="2:10">
      <c r="B253" s="301" t="s">
        <v>102</v>
      </c>
      <c r="C253" s="301"/>
      <c r="D253" s="301"/>
      <c r="E253" s="301"/>
      <c r="F253" s="301"/>
    </row>
    <row r="254" spans="2:10" ht="9.75" customHeight="1" thickBot="1">
      <c r="B254" s="189"/>
      <c r="C254" s="189"/>
      <c r="D254" s="189"/>
      <c r="E254" s="189"/>
      <c r="F254" s="189"/>
    </row>
    <row r="255" spans="2:10" ht="18" thickBot="1">
      <c r="B255" s="19"/>
      <c r="C255" s="305" t="s">
        <v>67</v>
      </c>
      <c r="D255" s="305"/>
      <c r="E255" s="251" t="s">
        <v>416</v>
      </c>
      <c r="F255" s="6" t="s">
        <v>103</v>
      </c>
    </row>
    <row r="256" spans="2:10" s="48" customFormat="1">
      <c r="B256" s="4" t="s">
        <v>104</v>
      </c>
      <c r="C256" s="215"/>
      <c r="D256" s="215"/>
      <c r="E256" s="215"/>
      <c r="F256" s="101"/>
    </row>
    <row r="257" spans="2:7" s="48" customFormat="1">
      <c r="B257" s="8" t="s">
        <v>139</v>
      </c>
      <c r="C257" s="307" t="s">
        <v>106</v>
      </c>
      <c r="D257" s="307"/>
      <c r="E257" s="255">
        <v>0</v>
      </c>
      <c r="F257" s="65">
        <v>6</v>
      </c>
    </row>
    <row r="258" spans="2:7">
      <c r="B258" s="8" t="s">
        <v>141</v>
      </c>
      <c r="C258" s="307" t="s">
        <v>106</v>
      </c>
      <c r="D258" s="307"/>
      <c r="E258" s="255">
        <v>45</v>
      </c>
      <c r="F258" s="65">
        <v>1</v>
      </c>
    </row>
    <row r="259" spans="2:7">
      <c r="B259" s="373" t="s">
        <v>407</v>
      </c>
      <c r="C259" s="307" t="s">
        <v>106</v>
      </c>
      <c r="D259" s="307"/>
      <c r="E259" s="255">
        <v>0</v>
      </c>
      <c r="F259" s="65">
        <v>0</v>
      </c>
    </row>
    <row r="260" spans="2:7">
      <c r="B260" s="373" t="s">
        <v>408</v>
      </c>
      <c r="C260" s="307" t="s">
        <v>106</v>
      </c>
      <c r="D260" s="307"/>
      <c r="E260" s="255">
        <v>0</v>
      </c>
      <c r="F260" s="65">
        <v>0</v>
      </c>
    </row>
    <row r="261" spans="2:7">
      <c r="B261" s="373" t="s">
        <v>409</v>
      </c>
      <c r="C261" s="307" t="s">
        <v>106</v>
      </c>
      <c r="D261" s="307"/>
      <c r="E261" s="255">
        <v>0</v>
      </c>
      <c r="F261" s="65">
        <v>0</v>
      </c>
    </row>
    <row r="262" spans="2:7">
      <c r="B262" s="373" t="s">
        <v>413</v>
      </c>
      <c r="C262" s="307" t="s">
        <v>414</v>
      </c>
      <c r="D262" s="307"/>
      <c r="E262" s="255">
        <v>0</v>
      </c>
      <c r="F262" s="65">
        <v>0</v>
      </c>
    </row>
    <row r="263" spans="2:7">
      <c r="B263" s="7" t="s">
        <v>107</v>
      </c>
      <c r="C263" s="152"/>
      <c r="D263" s="152"/>
      <c r="E263" s="152"/>
      <c r="F263" s="113"/>
    </row>
    <row r="264" spans="2:7">
      <c r="B264" s="8" t="s">
        <v>139</v>
      </c>
      <c r="C264" s="307" t="s">
        <v>106</v>
      </c>
      <c r="D264" s="307"/>
      <c r="E264" s="255">
        <v>0</v>
      </c>
      <c r="F264" s="65">
        <v>0</v>
      </c>
    </row>
    <row r="265" spans="2:7">
      <c r="B265" s="8" t="s">
        <v>141</v>
      </c>
      <c r="C265" s="307" t="s">
        <v>106</v>
      </c>
      <c r="D265" s="307"/>
      <c r="E265" s="255">
        <v>0</v>
      </c>
      <c r="F265" s="65">
        <v>0</v>
      </c>
    </row>
    <row r="266" spans="2:7">
      <c r="B266" s="373" t="s">
        <v>410</v>
      </c>
      <c r="C266" s="307" t="s">
        <v>106</v>
      </c>
      <c r="D266" s="307"/>
      <c r="E266" s="255">
        <v>0</v>
      </c>
      <c r="F266" s="65">
        <v>0</v>
      </c>
    </row>
    <row r="267" spans="2:7">
      <c r="B267" s="373" t="s">
        <v>411</v>
      </c>
      <c r="C267" s="307" t="s">
        <v>106</v>
      </c>
      <c r="D267" s="307"/>
      <c r="E267" s="255">
        <v>0</v>
      </c>
      <c r="F267" s="65">
        <v>0</v>
      </c>
    </row>
    <row r="268" spans="2:7">
      <c r="B268" s="373" t="s">
        <v>412</v>
      </c>
      <c r="C268" s="307" t="s">
        <v>106</v>
      </c>
      <c r="D268" s="307"/>
      <c r="E268" s="171">
        <v>0</v>
      </c>
      <c r="F268" s="375">
        <v>0</v>
      </c>
    </row>
    <row r="269" spans="2:7" ht="18" thickBot="1">
      <c r="B269" s="374" t="s">
        <v>415</v>
      </c>
      <c r="C269" s="308" t="s">
        <v>414</v>
      </c>
      <c r="D269" s="308"/>
      <c r="E269" s="376">
        <v>0</v>
      </c>
      <c r="F269" s="155">
        <v>0</v>
      </c>
    </row>
    <row r="270" spans="2:7">
      <c r="F270" s="15"/>
    </row>
    <row r="272" spans="2:7">
      <c r="B272" s="301" t="s">
        <v>108</v>
      </c>
      <c r="C272" s="301"/>
      <c r="D272" s="301"/>
      <c r="E272" s="301"/>
      <c r="F272" s="301"/>
      <c r="G272" s="301"/>
    </row>
    <row r="273" spans="2:12" s="48" customFormat="1" ht="9.9499999999999993" customHeight="1" thickBot="1">
      <c r="B273" s="174"/>
      <c r="C273" s="174"/>
      <c r="D273" s="174"/>
    </row>
    <row r="274" spans="2:12" ht="18" thickBot="1">
      <c r="B274" s="311"/>
      <c r="C274" s="312"/>
      <c r="D274" s="312"/>
      <c r="E274" s="257" t="s">
        <v>109</v>
      </c>
      <c r="F274" s="269" t="s">
        <v>442</v>
      </c>
    </row>
    <row r="275" spans="2:12">
      <c r="B275" s="278" t="s">
        <v>110</v>
      </c>
      <c r="C275" s="279"/>
      <c r="D275" s="279"/>
      <c r="E275" s="253" t="s">
        <v>111</v>
      </c>
      <c r="F275" s="63">
        <v>10</v>
      </c>
    </row>
    <row r="276" spans="2:12">
      <c r="B276" s="263" t="s">
        <v>404</v>
      </c>
      <c r="C276" s="262"/>
      <c r="D276" s="262"/>
      <c r="E276" s="246" t="s">
        <v>111</v>
      </c>
      <c r="F276" s="65">
        <v>60</v>
      </c>
    </row>
    <row r="277" spans="2:12" ht="18" thickBot="1">
      <c r="B277" s="289" t="s">
        <v>112</v>
      </c>
      <c r="C277" s="290"/>
      <c r="D277" s="290"/>
      <c r="E277" s="248" t="s">
        <v>113</v>
      </c>
      <c r="F277" s="179">
        <v>200</v>
      </c>
    </row>
    <row r="280" spans="2:12">
      <c r="B280" s="280" t="s">
        <v>424</v>
      </c>
      <c r="C280" s="280"/>
      <c r="D280" s="280"/>
      <c r="E280" s="280"/>
      <c r="F280" s="280"/>
    </row>
    <row r="281" spans="2:12" ht="9" customHeight="1" thickBot="1"/>
    <row r="282" spans="2:12" ht="18" customHeight="1" thickBot="1">
      <c r="B282" s="19"/>
      <c r="C282" s="20"/>
      <c r="D282" s="20"/>
      <c r="E282" s="251" t="s">
        <v>109</v>
      </c>
      <c r="F282" s="6" t="s">
        <v>445</v>
      </c>
      <c r="G282" s="235" t="s">
        <v>35</v>
      </c>
      <c r="H282" s="6" t="s">
        <v>444</v>
      </c>
      <c r="I282" s="345"/>
      <c r="J282" s="285" t="s">
        <v>462</v>
      </c>
      <c r="K282" s="286"/>
      <c r="L282" s="287"/>
    </row>
    <row r="283" spans="2:12" ht="18" thickBot="1">
      <c r="B283" s="278" t="s">
        <v>439</v>
      </c>
      <c r="C283" s="279"/>
      <c r="D283" s="279"/>
      <c r="E283" s="253" t="s">
        <v>443</v>
      </c>
      <c r="F283" s="379">
        <v>204</v>
      </c>
      <c r="G283" s="253">
        <f>(12/'CUSTOS ANUAIS'!$N$18)</f>
        <v>1.2</v>
      </c>
      <c r="H283" s="222">
        <f t="shared" ref="H283:H289" si="1">F283*G283</f>
        <v>244.79999999999998</v>
      </c>
      <c r="I283" s="344"/>
    </row>
    <row r="284" spans="2:12">
      <c r="B284" s="276" t="s">
        <v>440</v>
      </c>
      <c r="C284" s="277"/>
      <c r="D284" s="277"/>
      <c r="E284" s="246" t="s">
        <v>443</v>
      </c>
      <c r="F284" s="380">
        <v>204</v>
      </c>
      <c r="G284" s="246">
        <f>(12/'CUSTOS ANUAIS'!$N$18)</f>
        <v>1.2</v>
      </c>
      <c r="H284" s="236">
        <f t="shared" si="1"/>
        <v>244.79999999999998</v>
      </c>
      <c r="I284" s="344"/>
      <c r="J284" s="278" t="s">
        <v>340</v>
      </c>
      <c r="K284" s="279"/>
      <c r="L284" s="222">
        <f>'CUSTOS ANUAIS'!N11*'CUSTOS ANUAIS'!N16</f>
        <v>52.5</v>
      </c>
    </row>
    <row r="285" spans="2:12" ht="18" thickBot="1">
      <c r="B285" s="276" t="s">
        <v>441</v>
      </c>
      <c r="C285" s="277"/>
      <c r="D285" s="277"/>
      <c r="E285" s="246" t="s">
        <v>443</v>
      </c>
      <c r="F285" s="380">
        <v>204</v>
      </c>
      <c r="G285" s="246">
        <f>(12/'CUSTOS ANUAIS'!$N$18)</f>
        <v>1.2</v>
      </c>
      <c r="H285" s="236">
        <f t="shared" si="1"/>
        <v>244.79999999999998</v>
      </c>
      <c r="I285" s="344"/>
      <c r="J285" s="289" t="s">
        <v>461</v>
      </c>
      <c r="K285" s="290"/>
      <c r="L285" s="237">
        <f>'CUSTOS ANUAIS'!N13</f>
        <v>408.23999999999995</v>
      </c>
    </row>
    <row r="286" spans="2:12">
      <c r="B286" s="276" t="s">
        <v>548</v>
      </c>
      <c r="C286" s="277"/>
      <c r="D286" s="377" t="s">
        <v>489</v>
      </c>
      <c r="E286" s="246" t="s">
        <v>446</v>
      </c>
      <c r="F286" s="380">
        <v>200</v>
      </c>
      <c r="G286" s="246">
        <f>(12/'CUSTOS ANUAIS'!$N$18)</f>
        <v>1.2</v>
      </c>
      <c r="H286" s="236">
        <f t="shared" si="1"/>
        <v>240</v>
      </c>
      <c r="I286" s="344"/>
      <c r="J286" s="277"/>
      <c r="K286" s="277"/>
      <c r="L286" s="246"/>
    </row>
    <row r="287" spans="2:12">
      <c r="B287" s="276" t="s">
        <v>549</v>
      </c>
      <c r="C287" s="277"/>
      <c r="D287" s="377" t="s">
        <v>488</v>
      </c>
      <c r="E287" s="246" t="s">
        <v>446</v>
      </c>
      <c r="F287" s="380">
        <v>0</v>
      </c>
      <c r="G287" s="246">
        <f>(12/'CUSTOS ANUAIS'!$N$18)</f>
        <v>1.2</v>
      </c>
      <c r="H287" s="236">
        <f t="shared" si="1"/>
        <v>0</v>
      </c>
      <c r="I287" s="344"/>
      <c r="J287" s="277"/>
      <c r="K287" s="277"/>
      <c r="L287" s="156"/>
    </row>
    <row r="288" spans="2:12">
      <c r="B288" s="276" t="s">
        <v>524</v>
      </c>
      <c r="C288" s="277"/>
      <c r="D288" s="377" t="s">
        <v>486</v>
      </c>
      <c r="E288" s="246" t="s">
        <v>446</v>
      </c>
      <c r="F288" s="380">
        <v>0</v>
      </c>
      <c r="G288" s="246">
        <f>(12/'CUSTOS ANUAIS'!$N$18)</f>
        <v>1.2</v>
      </c>
      <c r="H288" s="236">
        <f t="shared" si="1"/>
        <v>0</v>
      </c>
      <c r="I288" s="344"/>
    </row>
    <row r="289" spans="2:9">
      <c r="B289" s="276" t="s">
        <v>549</v>
      </c>
      <c r="C289" s="277"/>
      <c r="D289" s="377" t="s">
        <v>487</v>
      </c>
      <c r="E289" s="246" t="s">
        <v>446</v>
      </c>
      <c r="F289" s="380">
        <v>0</v>
      </c>
      <c r="G289" s="246">
        <f>(12/'CUSTOS ANUAIS'!$N$18)</f>
        <v>1.2</v>
      </c>
      <c r="H289" s="236">
        <f t="shared" si="1"/>
        <v>0</v>
      </c>
      <c r="I289" s="344"/>
    </row>
    <row r="290" spans="2:9" ht="18" thickBot="1">
      <c r="B290" s="289" t="s">
        <v>524</v>
      </c>
      <c r="C290" s="290"/>
      <c r="D290" s="378" t="s">
        <v>547</v>
      </c>
      <c r="E290" s="248" t="s">
        <v>446</v>
      </c>
      <c r="F290" s="381">
        <v>0</v>
      </c>
      <c r="G290" s="248">
        <f>(12/'CUSTOS ANUAIS'!$N$18)</f>
        <v>1.2</v>
      </c>
      <c r="H290" s="237">
        <f>F290*G290</f>
        <v>0</v>
      </c>
      <c r="I290" s="344"/>
    </row>
  </sheetData>
  <sheetProtection password="D2B3" sheet="1" objects="1" scenarios="1" selectLockedCells="1"/>
  <mergeCells count="233">
    <mergeCell ref="B290:C290"/>
    <mergeCell ref="B289:C289"/>
    <mergeCell ref="B288:C288"/>
    <mergeCell ref="B287:C287"/>
    <mergeCell ref="B286:C286"/>
    <mergeCell ref="B37:B39"/>
    <mergeCell ref="C133:D133"/>
    <mergeCell ref="C138:D138"/>
    <mergeCell ref="C143:D143"/>
    <mergeCell ref="C148:D148"/>
    <mergeCell ref="C153:D153"/>
    <mergeCell ref="C158:D158"/>
    <mergeCell ref="C163:D163"/>
    <mergeCell ref="I222:J222"/>
    <mergeCell ref="J187:L187"/>
    <mergeCell ref="J189:K189"/>
    <mergeCell ref="J190:K190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168:D168"/>
    <mergeCell ref="C173:D173"/>
    <mergeCell ref="J282:L282"/>
    <mergeCell ref="J284:K284"/>
    <mergeCell ref="J285:K285"/>
    <mergeCell ref="J286:K286"/>
    <mergeCell ref="J287:K287"/>
    <mergeCell ref="I240:J240"/>
    <mergeCell ref="I229:J229"/>
    <mergeCell ref="C80:D80"/>
    <mergeCell ref="C81:D81"/>
    <mergeCell ref="C82:D82"/>
    <mergeCell ref="C83:D83"/>
    <mergeCell ref="C84:D84"/>
    <mergeCell ref="C92:D92"/>
    <mergeCell ref="C93:D93"/>
    <mergeCell ref="C94:D94"/>
    <mergeCell ref="C95:D95"/>
    <mergeCell ref="C91:D91"/>
    <mergeCell ref="B274:D274"/>
    <mergeCell ref="B275:D275"/>
    <mergeCell ref="B277:D277"/>
    <mergeCell ref="C258:D258"/>
    <mergeCell ref="C259:D259"/>
    <mergeCell ref="C264:D264"/>
    <mergeCell ref="C265:D265"/>
    <mergeCell ref="C266:D266"/>
    <mergeCell ref="B272:G272"/>
    <mergeCell ref="C260:D260"/>
    <mergeCell ref="C261:D261"/>
    <mergeCell ref="C267:D267"/>
    <mergeCell ref="C268:D268"/>
    <mergeCell ref="C262:D262"/>
    <mergeCell ref="C269:D269"/>
    <mergeCell ref="C245:E245"/>
    <mergeCell ref="C248:D248"/>
    <mergeCell ref="C249:D249"/>
    <mergeCell ref="B253:F253"/>
    <mergeCell ref="C255:D255"/>
    <mergeCell ref="C257:D257"/>
    <mergeCell ref="D229:E229"/>
    <mergeCell ref="D236:E236"/>
    <mergeCell ref="D237:E237"/>
    <mergeCell ref="D240:E240"/>
    <mergeCell ref="D241:E241"/>
    <mergeCell ref="D242:E242"/>
    <mergeCell ref="C212:D212"/>
    <mergeCell ref="C213:D213"/>
    <mergeCell ref="C214:D214"/>
    <mergeCell ref="C215:D215"/>
    <mergeCell ref="C216:D216"/>
    <mergeCell ref="B220:J220"/>
    <mergeCell ref="C203:D203"/>
    <mergeCell ref="C204:D204"/>
    <mergeCell ref="C205:D205"/>
    <mergeCell ref="C206:D206"/>
    <mergeCell ref="C207:D207"/>
    <mergeCell ref="B210:E210"/>
    <mergeCell ref="C217:D217"/>
    <mergeCell ref="C218:D218"/>
    <mergeCell ref="C195:D195"/>
    <mergeCell ref="C197:D197"/>
    <mergeCell ref="C198:D198"/>
    <mergeCell ref="C199:D199"/>
    <mergeCell ref="C200:D200"/>
    <mergeCell ref="C201:D201"/>
    <mergeCell ref="C160:D160"/>
    <mergeCell ref="C172:D172"/>
    <mergeCell ref="C174:D174"/>
    <mergeCell ref="C175:D175"/>
    <mergeCell ref="B178:E178"/>
    <mergeCell ref="B193:E193"/>
    <mergeCell ref="C162:D162"/>
    <mergeCell ref="C164:D164"/>
    <mergeCell ref="C165:D165"/>
    <mergeCell ref="C167:D167"/>
    <mergeCell ref="C169:D169"/>
    <mergeCell ref="C170:D170"/>
    <mergeCell ref="B185:E185"/>
    <mergeCell ref="B190:C190"/>
    <mergeCell ref="B189:C189"/>
    <mergeCell ref="B188:C188"/>
    <mergeCell ref="C135:D135"/>
    <mergeCell ref="C137:D137"/>
    <mergeCell ref="C139:D139"/>
    <mergeCell ref="C140:D140"/>
    <mergeCell ref="C157:D157"/>
    <mergeCell ref="C159:D159"/>
    <mergeCell ref="B125:G125"/>
    <mergeCell ref="B128:F128"/>
    <mergeCell ref="C130:D130"/>
    <mergeCell ref="C131:D131"/>
    <mergeCell ref="C132:D132"/>
    <mergeCell ref="C134:D134"/>
    <mergeCell ref="C142:D142"/>
    <mergeCell ref="C144:D144"/>
    <mergeCell ref="C145:D145"/>
    <mergeCell ref="C147:D147"/>
    <mergeCell ref="C149:D149"/>
    <mergeCell ref="C150:D150"/>
    <mergeCell ref="C152:D152"/>
    <mergeCell ref="C154:D154"/>
    <mergeCell ref="C155:D155"/>
    <mergeCell ref="C114:D114"/>
    <mergeCell ref="C115:D115"/>
    <mergeCell ref="C116:D116"/>
    <mergeCell ref="C122:D122"/>
    <mergeCell ref="B123:G123"/>
    <mergeCell ref="B124:G124"/>
    <mergeCell ref="C103:D103"/>
    <mergeCell ref="C104:D104"/>
    <mergeCell ref="C110:D110"/>
    <mergeCell ref="C111:D111"/>
    <mergeCell ref="C112:D112"/>
    <mergeCell ref="C113:D113"/>
    <mergeCell ref="C105:D105"/>
    <mergeCell ref="C106:D106"/>
    <mergeCell ref="C107:D107"/>
    <mergeCell ref="C108:D108"/>
    <mergeCell ref="C109:D109"/>
    <mergeCell ref="C117:D117"/>
    <mergeCell ref="C118:D118"/>
    <mergeCell ref="C119:D119"/>
    <mergeCell ref="C120:D120"/>
    <mergeCell ref="C121:D121"/>
    <mergeCell ref="C97:D97"/>
    <mergeCell ref="C99:D99"/>
    <mergeCell ref="C100:D100"/>
    <mergeCell ref="C101:D101"/>
    <mergeCell ref="C102:D102"/>
    <mergeCell ref="C85:D85"/>
    <mergeCell ref="C86:D86"/>
    <mergeCell ref="C87:D87"/>
    <mergeCell ref="C88:D88"/>
    <mergeCell ref="C89:D89"/>
    <mergeCell ref="C90:D90"/>
    <mergeCell ref="C96:D96"/>
    <mergeCell ref="C74:D74"/>
    <mergeCell ref="C75:D75"/>
    <mergeCell ref="C76:D76"/>
    <mergeCell ref="C77:D77"/>
    <mergeCell ref="C78:D78"/>
    <mergeCell ref="C79:D79"/>
    <mergeCell ref="C63:D63"/>
    <mergeCell ref="C64:D64"/>
    <mergeCell ref="C65:D65"/>
    <mergeCell ref="C66:D66"/>
    <mergeCell ref="C67:D67"/>
    <mergeCell ref="C73:D73"/>
    <mergeCell ref="C68:D68"/>
    <mergeCell ref="C69:D69"/>
    <mergeCell ref="C70:D70"/>
    <mergeCell ref="C71:D71"/>
    <mergeCell ref="C72:D72"/>
    <mergeCell ref="C60:D60"/>
    <mergeCell ref="C59:D59"/>
    <mergeCell ref="C58:D58"/>
    <mergeCell ref="C57:D57"/>
    <mergeCell ref="C56:D56"/>
    <mergeCell ref="C30:D30"/>
    <mergeCell ref="C31:D31"/>
    <mergeCell ref="C32:D32"/>
    <mergeCell ref="C33:D33"/>
    <mergeCell ref="C34:D34"/>
    <mergeCell ref="J9:L9"/>
    <mergeCell ref="C11:D11"/>
    <mergeCell ref="J11:K11"/>
    <mergeCell ref="C12:D12"/>
    <mergeCell ref="J12:K12"/>
    <mergeCell ref="C16:D16"/>
    <mergeCell ref="J16:K16"/>
    <mergeCell ref="C22:D22"/>
    <mergeCell ref="C24:D24"/>
    <mergeCell ref="C13:D13"/>
    <mergeCell ref="J13:K13"/>
    <mergeCell ref="C14:D14"/>
    <mergeCell ref="J14:K14"/>
    <mergeCell ref="C15:D15"/>
    <mergeCell ref="J15:K15"/>
    <mergeCell ref="C21:D21"/>
    <mergeCell ref="C20:D20"/>
    <mergeCell ref="C19:D19"/>
    <mergeCell ref="C18:D18"/>
    <mergeCell ref="C17:D17"/>
    <mergeCell ref="B285:D285"/>
    <mergeCell ref="B284:D284"/>
    <mergeCell ref="B283:D283"/>
    <mergeCell ref="B280:F280"/>
    <mergeCell ref="B7:F7"/>
    <mergeCell ref="C9:D9"/>
    <mergeCell ref="C25:D25"/>
    <mergeCell ref="C26:D26"/>
    <mergeCell ref="C52:D52"/>
    <mergeCell ref="C53:D53"/>
    <mergeCell ref="C54:D54"/>
    <mergeCell ref="C55:D55"/>
    <mergeCell ref="C61:D61"/>
    <mergeCell ref="C62:D62"/>
    <mergeCell ref="C27:D27"/>
    <mergeCell ref="C28:D28"/>
    <mergeCell ref="C29:D29"/>
    <mergeCell ref="C35:D35"/>
    <mergeCell ref="C50:D50"/>
    <mergeCell ref="C51:D51"/>
  </mergeCells>
  <pageMargins left="0.51" right="0.51" top="0.79" bottom="0.79" header="0.31" footer="0.31"/>
  <pageSetup paperSize="9" scale="42" orientation="portrait" verticalDpi="300" r:id="rId1"/>
  <rowBreaks count="3" manualBreakCount="3">
    <brk id="97" max="16383" man="1"/>
    <brk id="175" max="16383" man="1"/>
    <brk id="243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7:F122"/>
  <sheetViews>
    <sheetView zoomScale="85" zoomScaleNormal="85" workbookViewId="0">
      <selection activeCell="F17" sqref="F17"/>
    </sheetView>
  </sheetViews>
  <sheetFormatPr defaultRowHeight="17.25"/>
  <cols>
    <col min="1" max="1" width="22.42578125" style="1" customWidth="1"/>
    <col min="2" max="2" width="2.7109375" style="1" customWidth="1"/>
    <col min="3" max="3" width="42.7109375" style="1" customWidth="1"/>
    <col min="4" max="4" width="20.7109375" style="2" customWidth="1"/>
    <col min="5" max="5" width="0.42578125" style="2" customWidth="1"/>
    <col min="6" max="6" width="20.7109375" style="2" customWidth="1"/>
    <col min="7" max="16384" width="9.140625" style="1"/>
  </cols>
  <sheetData>
    <row r="7" spans="2:6">
      <c r="B7" s="313" t="s">
        <v>114</v>
      </c>
      <c r="C7" s="298"/>
      <c r="D7" s="298"/>
      <c r="E7" s="298"/>
      <c r="F7" s="314"/>
    </row>
    <row r="9" spans="2:6">
      <c r="B9" s="325" t="s">
        <v>115</v>
      </c>
      <c r="C9" s="326"/>
      <c r="D9" s="321" t="s">
        <v>116</v>
      </c>
      <c r="E9" s="98" t="s">
        <v>117</v>
      </c>
      <c r="F9" s="323" t="s">
        <v>117</v>
      </c>
    </row>
    <row r="10" spans="2:6">
      <c r="B10" s="327"/>
      <c r="C10" s="328"/>
      <c r="D10" s="322"/>
      <c r="E10" s="99"/>
      <c r="F10" s="324"/>
    </row>
    <row r="11" spans="2:6">
      <c r="B11" s="100" t="s">
        <v>72</v>
      </c>
      <c r="C11" s="101"/>
      <c r="D11" s="102"/>
      <c r="E11" s="103"/>
      <c r="F11" s="104"/>
    </row>
    <row r="12" spans="2:6">
      <c r="B12" s="8"/>
      <c r="C12" s="105" t="s">
        <v>118</v>
      </c>
      <c r="D12" s="106" t="s">
        <v>119</v>
      </c>
      <c r="E12" s="107"/>
      <c r="F12" s="108">
        <v>250</v>
      </c>
    </row>
    <row r="13" spans="2:6">
      <c r="B13" s="8"/>
      <c r="C13" s="105" t="str">
        <f>'INSUMOS - QUANTIDADES'!B216</f>
        <v>Cercas - tipo 1</v>
      </c>
      <c r="D13" s="106" t="s">
        <v>120</v>
      </c>
      <c r="E13" s="107"/>
      <c r="F13" s="108">
        <v>11</v>
      </c>
    </row>
    <row r="14" spans="2:6">
      <c r="B14" s="8"/>
      <c r="C14" s="105" t="str">
        <f>'INSUMOS - QUANTIDADES'!B217</f>
        <v>Cercas - tipo 2</v>
      </c>
      <c r="D14" s="106" t="s">
        <v>120</v>
      </c>
      <c r="E14" s="107"/>
      <c r="F14" s="108"/>
    </row>
    <row r="15" spans="2:6">
      <c r="B15" s="8"/>
      <c r="C15" s="105" t="str">
        <f>'INSUMOS - QUANTIDADES'!B218</f>
        <v>Cercas - tipo 3</v>
      </c>
      <c r="D15" s="106" t="s">
        <v>120</v>
      </c>
      <c r="E15" s="107"/>
      <c r="F15" s="108"/>
    </row>
    <row r="16" spans="2:6">
      <c r="B16" s="265" t="s">
        <v>121</v>
      </c>
      <c r="C16" s="266"/>
      <c r="D16" s="106"/>
      <c r="E16" s="109"/>
      <c r="F16" s="110"/>
    </row>
    <row r="17" spans="2:6">
      <c r="B17" s="8"/>
      <c r="C17" s="111" t="s">
        <v>122</v>
      </c>
      <c r="D17" s="103" t="s">
        <v>123</v>
      </c>
      <c r="E17" s="107"/>
      <c r="F17" s="108">
        <v>21750</v>
      </c>
    </row>
    <row r="18" spans="2:6">
      <c r="B18" s="8"/>
      <c r="C18" s="105" t="str">
        <f>'INSUMOS - QUANTIDADES'!B224</f>
        <v>Carreta 4 rodas</v>
      </c>
      <c r="D18" s="103" t="s">
        <v>123</v>
      </c>
      <c r="E18" s="107"/>
      <c r="F18" s="108">
        <v>4625</v>
      </c>
    </row>
    <row r="19" spans="2:6">
      <c r="B19" s="8"/>
      <c r="C19" s="105" t="str">
        <f>'INSUMOS - QUANTIDADES'!B225</f>
        <v>Ensiladeira</v>
      </c>
      <c r="D19" s="103" t="s">
        <v>123</v>
      </c>
      <c r="E19" s="107"/>
      <c r="F19" s="108">
        <v>5500</v>
      </c>
    </row>
    <row r="20" spans="2:6">
      <c r="B20" s="8"/>
      <c r="C20" s="105" t="str">
        <f>'INSUMOS - QUANTIDADES'!B226</f>
        <v>Equipamento 1</v>
      </c>
      <c r="D20" s="103" t="s">
        <v>123</v>
      </c>
      <c r="E20" s="107"/>
      <c r="F20" s="108"/>
    </row>
    <row r="21" spans="2:6">
      <c r="B21" s="8"/>
      <c r="C21" s="105" t="str">
        <f>'INSUMOS - QUANTIDADES'!B227</f>
        <v>Equipamento 2</v>
      </c>
      <c r="D21" s="103" t="s">
        <v>123</v>
      </c>
      <c r="E21" s="107"/>
      <c r="F21" s="108"/>
    </row>
    <row r="22" spans="2:6">
      <c r="B22" s="8"/>
      <c r="C22" s="105" t="str">
        <f>'INSUMOS - QUANTIDADES'!B228</f>
        <v>Equipamento 3</v>
      </c>
      <c r="D22" s="103" t="s">
        <v>123</v>
      </c>
      <c r="E22" s="107"/>
      <c r="F22" s="108"/>
    </row>
    <row r="23" spans="2:6">
      <c r="B23" s="8"/>
      <c r="C23" s="105" t="str">
        <f>'INSUMOS - QUANTIDADES'!B230</f>
        <v>Balança</v>
      </c>
      <c r="D23" s="103" t="s">
        <v>123</v>
      </c>
      <c r="E23" s="107"/>
      <c r="F23" s="108">
        <v>500</v>
      </c>
    </row>
    <row r="24" spans="2:6">
      <c r="B24" s="8"/>
      <c r="C24" s="105" t="str">
        <f>'INSUMOS - QUANTIDADES'!B231</f>
        <v>Equipamento 5</v>
      </c>
      <c r="D24" s="103" t="s">
        <v>123</v>
      </c>
      <c r="E24" s="107"/>
      <c r="F24" s="108"/>
    </row>
    <row r="25" spans="2:6">
      <c r="B25" s="8"/>
      <c r="C25" s="105" t="str">
        <f>'INSUMOS - QUANTIDADES'!B232</f>
        <v>Equipamento 6</v>
      </c>
      <c r="D25" s="103" t="s">
        <v>123</v>
      </c>
      <c r="E25" s="107"/>
      <c r="F25" s="108"/>
    </row>
    <row r="26" spans="2:6">
      <c r="B26" s="8"/>
      <c r="C26" s="105" t="str">
        <f>'INSUMOS - QUANTIDADES'!B233</f>
        <v>Equipamento 7</v>
      </c>
      <c r="D26" s="103" t="s">
        <v>123</v>
      </c>
      <c r="E26" s="107"/>
      <c r="F26" s="108"/>
    </row>
    <row r="27" spans="2:6">
      <c r="B27" s="8"/>
      <c r="C27" s="105" t="str">
        <f>'INSUMOS - QUANTIDADES'!B234</f>
        <v>Equipamento 8</v>
      </c>
      <c r="D27" s="103" t="s">
        <v>123</v>
      </c>
      <c r="E27" s="107"/>
      <c r="F27" s="108"/>
    </row>
    <row r="28" spans="2:6">
      <c r="B28" s="8"/>
      <c r="C28" s="105" t="str">
        <f>'INSUMOS - QUANTIDADES'!B235</f>
        <v>Equipamento 9</v>
      </c>
      <c r="D28" s="103" t="s">
        <v>123</v>
      </c>
      <c r="E28" s="107"/>
      <c r="F28" s="108"/>
    </row>
    <row r="29" spans="2:6">
      <c r="B29" s="112" t="s">
        <v>124</v>
      </c>
      <c r="C29" s="113"/>
      <c r="D29" s="106"/>
      <c r="E29" s="114"/>
      <c r="F29" s="110"/>
    </row>
    <row r="30" spans="2:6" s="96" customFormat="1">
      <c r="B30" s="115"/>
      <c r="C30" s="111" t="s">
        <v>125</v>
      </c>
      <c r="D30" s="103" t="s">
        <v>126</v>
      </c>
      <c r="E30" s="107"/>
      <c r="F30" s="108">
        <v>325</v>
      </c>
    </row>
    <row r="31" spans="2:6" s="96" customFormat="1">
      <c r="B31" s="115"/>
      <c r="C31" s="111" t="s">
        <v>26</v>
      </c>
      <c r="D31" s="103" t="s">
        <v>127</v>
      </c>
      <c r="E31" s="107"/>
      <c r="F31" s="108">
        <v>1250</v>
      </c>
    </row>
    <row r="32" spans="2:6" s="96" customFormat="1">
      <c r="B32" s="115"/>
      <c r="C32" s="111" t="s">
        <v>98</v>
      </c>
      <c r="D32" s="103" t="s">
        <v>128</v>
      </c>
      <c r="E32" s="107"/>
      <c r="F32" s="108">
        <v>300</v>
      </c>
    </row>
    <row r="33" spans="2:6">
      <c r="B33" s="315" t="s">
        <v>129</v>
      </c>
      <c r="C33" s="316"/>
      <c r="D33" s="106"/>
      <c r="E33" s="114"/>
      <c r="F33" s="110"/>
    </row>
    <row r="34" spans="2:6" s="96" customFormat="1">
      <c r="B34" s="115"/>
      <c r="C34" s="111" t="str">
        <f>'INSUMOS - QUANTIDADES'!B197</f>
        <v xml:space="preserve">   Funcionário 1</v>
      </c>
      <c r="D34" s="103" t="s">
        <v>130</v>
      </c>
      <c r="E34" s="107"/>
      <c r="F34" s="108">
        <v>1050</v>
      </c>
    </row>
    <row r="35" spans="2:6">
      <c r="B35" s="8"/>
      <c r="C35" s="105" t="str">
        <f>'INSUMOS - QUANTIDADES'!B198</f>
        <v xml:space="preserve">   Funcionário 2</v>
      </c>
      <c r="D35" s="106" t="s">
        <v>130</v>
      </c>
      <c r="E35" s="107"/>
      <c r="F35" s="108">
        <v>0</v>
      </c>
    </row>
    <row r="36" spans="2:6">
      <c r="B36" s="8"/>
      <c r="C36" s="105" t="str">
        <f>'INSUMOS - QUANTIDADES'!B199</f>
        <v xml:space="preserve">   Funcionário 3</v>
      </c>
      <c r="D36" s="106" t="s">
        <v>130</v>
      </c>
      <c r="E36" s="107"/>
      <c r="F36" s="108">
        <v>0</v>
      </c>
    </row>
    <row r="37" spans="2:6">
      <c r="B37" s="8"/>
      <c r="C37" s="105" t="str">
        <f>'INSUMOS - QUANTIDADES'!B200</f>
        <v xml:space="preserve">   Funcionário 4</v>
      </c>
      <c r="D37" s="106" t="s">
        <v>130</v>
      </c>
      <c r="E37" s="107"/>
      <c r="F37" s="108">
        <v>0</v>
      </c>
    </row>
    <row r="38" spans="2:6">
      <c r="B38" s="8"/>
      <c r="C38" s="105" t="str">
        <f>'INSUMOS - QUANTIDADES'!B201</f>
        <v xml:space="preserve">   Funcionário 5</v>
      </c>
      <c r="D38" s="106" t="s">
        <v>130</v>
      </c>
      <c r="E38" s="107"/>
      <c r="F38" s="108">
        <v>0</v>
      </c>
    </row>
    <row r="39" spans="2:6">
      <c r="B39" s="315" t="s">
        <v>131</v>
      </c>
      <c r="C39" s="316"/>
      <c r="D39" s="106"/>
      <c r="E39" s="114"/>
      <c r="F39" s="110"/>
    </row>
    <row r="40" spans="2:6" s="96" customFormat="1">
      <c r="B40" s="267"/>
      <c r="C40" s="116" t="str">
        <f>'INSUMOS - QUANTIDADES'!B203</f>
        <v xml:space="preserve">   Funcionário 6</v>
      </c>
      <c r="D40" s="103" t="s">
        <v>132</v>
      </c>
      <c r="E40" s="107"/>
      <c r="F40" s="108">
        <v>50</v>
      </c>
    </row>
    <row r="41" spans="2:6">
      <c r="B41" s="265"/>
      <c r="C41" s="117" t="str">
        <f>'INSUMOS - QUANTIDADES'!B204</f>
        <v xml:space="preserve">   Funcionário 7</v>
      </c>
      <c r="D41" s="106" t="s">
        <v>132</v>
      </c>
      <c r="E41" s="107"/>
      <c r="F41" s="108">
        <v>0</v>
      </c>
    </row>
    <row r="42" spans="2:6">
      <c r="B42" s="265"/>
      <c r="C42" s="117" t="str">
        <f>'INSUMOS - QUANTIDADES'!B205</f>
        <v xml:space="preserve">   Funcionário 8</v>
      </c>
      <c r="D42" s="106" t="s">
        <v>132</v>
      </c>
      <c r="E42" s="107"/>
      <c r="F42" s="108">
        <v>0</v>
      </c>
    </row>
    <row r="43" spans="2:6">
      <c r="B43" s="265"/>
      <c r="C43" s="117" t="str">
        <f>'INSUMOS - QUANTIDADES'!B206</f>
        <v xml:space="preserve">   Funcionário 9</v>
      </c>
      <c r="D43" s="106" t="s">
        <v>132</v>
      </c>
      <c r="E43" s="107"/>
      <c r="F43" s="108">
        <v>0</v>
      </c>
    </row>
    <row r="44" spans="2:6">
      <c r="B44" s="265"/>
      <c r="C44" s="117" t="str">
        <f>'INSUMOS - QUANTIDADES'!B207</f>
        <v xml:space="preserve">   Funcionário 10</v>
      </c>
      <c r="D44" s="106" t="s">
        <v>132</v>
      </c>
      <c r="E44" s="107"/>
      <c r="F44" s="108">
        <v>0</v>
      </c>
    </row>
    <row r="45" spans="2:6">
      <c r="B45" s="315" t="s">
        <v>133</v>
      </c>
      <c r="C45" s="316"/>
      <c r="D45" s="106"/>
      <c r="E45" s="114"/>
      <c r="F45" s="110"/>
    </row>
    <row r="46" spans="2:6" s="96" customFormat="1">
      <c r="B46" s="118"/>
      <c r="C46" s="119" t="s">
        <v>134</v>
      </c>
      <c r="D46" s="103" t="s">
        <v>135</v>
      </c>
      <c r="E46" s="107"/>
      <c r="F46" s="108">
        <v>2.028</v>
      </c>
    </row>
    <row r="47" spans="2:6" s="96" customFormat="1">
      <c r="B47" s="118"/>
      <c r="C47" s="119" t="s">
        <v>404</v>
      </c>
      <c r="D47" s="103" t="s">
        <v>135</v>
      </c>
      <c r="E47" s="107"/>
      <c r="F47" s="108">
        <v>4.2</v>
      </c>
    </row>
    <row r="48" spans="2:6">
      <c r="B48" s="120"/>
      <c r="C48" s="121" t="s">
        <v>136</v>
      </c>
      <c r="D48" s="106" t="s">
        <v>137</v>
      </c>
      <c r="E48" s="107"/>
      <c r="F48" s="108">
        <v>0.21557000000000001</v>
      </c>
    </row>
    <row r="49" spans="2:6">
      <c r="B49" s="315" t="s">
        <v>138</v>
      </c>
      <c r="C49" s="316"/>
      <c r="D49" s="122"/>
      <c r="E49" s="114"/>
      <c r="F49" s="110"/>
    </row>
    <row r="50" spans="2:6">
      <c r="B50" s="265"/>
      <c r="C50" s="117" t="s">
        <v>139</v>
      </c>
      <c r="D50" s="103" t="s">
        <v>140</v>
      </c>
      <c r="E50" s="107"/>
      <c r="F50" s="108">
        <v>0</v>
      </c>
    </row>
    <row r="51" spans="2:6" s="96" customFormat="1">
      <c r="B51" s="115"/>
      <c r="C51" s="111" t="s">
        <v>141</v>
      </c>
      <c r="D51" s="103" t="s">
        <v>140</v>
      </c>
      <c r="E51" s="107"/>
      <c r="F51" s="108">
        <v>35</v>
      </c>
    </row>
    <row r="52" spans="2:6">
      <c r="B52" s="8"/>
      <c r="C52" s="111" t="str">
        <f>'INSUMOS - QUANTIDADES'!B259</f>
        <v>Fertilizante 1</v>
      </c>
      <c r="D52" s="103" t="s">
        <v>140</v>
      </c>
      <c r="E52" s="107"/>
      <c r="F52" s="108">
        <v>0</v>
      </c>
    </row>
    <row r="53" spans="2:6">
      <c r="B53" s="8"/>
      <c r="C53" s="111" t="str">
        <f>'INSUMOS - QUANTIDADES'!B260</f>
        <v>Fertilizante 2</v>
      </c>
      <c r="D53" s="103" t="s">
        <v>140</v>
      </c>
      <c r="E53" s="107"/>
      <c r="F53" s="108"/>
    </row>
    <row r="54" spans="2:6">
      <c r="B54" s="8"/>
      <c r="C54" s="111" t="str">
        <f>'INSUMOS - QUANTIDADES'!B261</f>
        <v>Fertilizante 3</v>
      </c>
      <c r="D54" s="103" t="s">
        <v>140</v>
      </c>
      <c r="E54" s="107"/>
      <c r="F54" s="108"/>
    </row>
    <row r="55" spans="2:6">
      <c r="B55" s="8"/>
      <c r="C55" s="111" t="str">
        <f>'INSUMOS - QUANTIDADES'!B266</f>
        <v>Fertilizante 4</v>
      </c>
      <c r="D55" s="103" t="s">
        <v>140</v>
      </c>
      <c r="E55" s="107"/>
      <c r="F55" s="108"/>
    </row>
    <row r="56" spans="2:6">
      <c r="B56" s="8"/>
      <c r="C56" s="111" t="str">
        <f>'INSUMOS - QUANTIDADES'!B267</f>
        <v>Fertilizante 5</v>
      </c>
      <c r="D56" s="103" t="s">
        <v>140</v>
      </c>
      <c r="E56" s="107"/>
      <c r="F56" s="108"/>
    </row>
    <row r="57" spans="2:6">
      <c r="B57" s="8"/>
      <c r="C57" s="111" t="str">
        <f>'INSUMOS - QUANTIDADES'!B268</f>
        <v>Fertilizante 6</v>
      </c>
      <c r="D57" s="103" t="s">
        <v>140</v>
      </c>
      <c r="E57" s="107"/>
      <c r="F57" s="108"/>
    </row>
    <row r="58" spans="2:6">
      <c r="B58" s="8"/>
      <c r="C58" s="111" t="str">
        <f>'INSUMOS - QUANTIDADES'!B262</f>
        <v>Herbicida 1</v>
      </c>
      <c r="D58" s="103" t="s">
        <v>135</v>
      </c>
      <c r="E58" s="107"/>
      <c r="F58" s="108"/>
    </row>
    <row r="59" spans="2:6">
      <c r="B59" s="8"/>
      <c r="C59" s="111" t="str">
        <f>'INSUMOS - QUANTIDADES'!B269</f>
        <v>Herbicida 2</v>
      </c>
      <c r="D59" s="103" t="s">
        <v>135</v>
      </c>
      <c r="E59" s="107"/>
      <c r="F59" s="108"/>
    </row>
    <row r="60" spans="2:6">
      <c r="B60" s="315" t="s">
        <v>142</v>
      </c>
      <c r="C60" s="316"/>
      <c r="D60" s="106"/>
      <c r="E60" s="114"/>
      <c r="F60" s="110"/>
    </row>
    <row r="61" spans="2:6" s="96" customFormat="1">
      <c r="B61" s="115"/>
      <c r="C61" s="111" t="str">
        <f>'INSUMOS - QUANTIDADES'!C13</f>
        <v>Volumoso 1</v>
      </c>
      <c r="D61" s="103" t="s">
        <v>140</v>
      </c>
      <c r="E61" s="107"/>
      <c r="F61" s="108">
        <v>55</v>
      </c>
    </row>
    <row r="62" spans="2:6">
      <c r="B62" s="8"/>
      <c r="C62" s="111" t="str">
        <f>'INSUMOS - QUANTIDADES'!C14</f>
        <v>Volumoso 2</v>
      </c>
      <c r="D62" s="103" t="s">
        <v>140</v>
      </c>
      <c r="E62" s="107"/>
      <c r="F62" s="108">
        <v>53.74</v>
      </c>
    </row>
    <row r="63" spans="2:6">
      <c r="B63" s="8"/>
      <c r="C63" s="111" t="str">
        <f>'INSUMOS - QUANTIDADES'!C15</f>
        <v>Volumoso 3</v>
      </c>
      <c r="D63" s="103" t="s">
        <v>140</v>
      </c>
      <c r="E63" s="107"/>
      <c r="F63" s="108">
        <v>0</v>
      </c>
    </row>
    <row r="64" spans="2:6">
      <c r="B64" s="8"/>
      <c r="C64" s="111" t="str">
        <f>'INSUMOS - QUANTIDADES'!C16</f>
        <v>Volumoso 4</v>
      </c>
      <c r="D64" s="103" t="s">
        <v>140</v>
      </c>
      <c r="E64" s="107"/>
      <c r="F64" s="108">
        <v>0</v>
      </c>
    </row>
    <row r="65" spans="2:6">
      <c r="B65" s="8"/>
      <c r="C65" s="111" t="str">
        <f>'INSUMOS - QUANTIDADES'!C17</f>
        <v>Volumoso 5</v>
      </c>
      <c r="D65" s="103" t="s">
        <v>140</v>
      </c>
      <c r="E65" s="107"/>
      <c r="F65" s="108">
        <v>0</v>
      </c>
    </row>
    <row r="66" spans="2:6">
      <c r="B66" s="8"/>
      <c r="C66" s="111" t="str">
        <f>'INSUMOS - QUANTIDADES'!C18</f>
        <v>Volumoso 6</v>
      </c>
      <c r="D66" s="103" t="s">
        <v>140</v>
      </c>
      <c r="E66" s="107"/>
      <c r="F66" s="108">
        <v>0</v>
      </c>
    </row>
    <row r="67" spans="2:6">
      <c r="B67" s="8"/>
      <c r="C67" s="111" t="str">
        <f>'INSUMOS - QUANTIDADES'!C19</f>
        <v>Volumoso 7</v>
      </c>
      <c r="D67" s="103" t="s">
        <v>140</v>
      </c>
      <c r="E67" s="107"/>
      <c r="F67" s="108">
        <v>0</v>
      </c>
    </row>
    <row r="68" spans="2:6">
      <c r="B68" s="8"/>
      <c r="C68" s="111" t="str">
        <f>'INSUMOS - QUANTIDADES'!C20</f>
        <v>Volumoso 8</v>
      </c>
      <c r="D68" s="103" t="s">
        <v>140</v>
      </c>
      <c r="E68" s="107"/>
      <c r="F68" s="108">
        <v>0</v>
      </c>
    </row>
    <row r="69" spans="2:6">
      <c r="B69" s="8"/>
      <c r="C69" s="111" t="str">
        <f>'INSUMOS - QUANTIDADES'!C21</f>
        <v>Volumoso 9</v>
      </c>
      <c r="D69" s="103" t="s">
        <v>140</v>
      </c>
      <c r="E69" s="107"/>
      <c r="F69" s="108">
        <v>0</v>
      </c>
    </row>
    <row r="70" spans="2:6" s="97" customFormat="1">
      <c r="B70" s="317" t="s">
        <v>143</v>
      </c>
      <c r="C70" s="318"/>
      <c r="D70" s="103" t="s">
        <v>144</v>
      </c>
      <c r="E70" s="107"/>
      <c r="F70" s="108">
        <v>1.63</v>
      </c>
    </row>
    <row r="71" spans="2:6">
      <c r="B71" s="315" t="s">
        <v>145</v>
      </c>
      <c r="C71" s="316"/>
      <c r="D71" s="106"/>
      <c r="E71" s="114"/>
      <c r="F71" s="110"/>
    </row>
    <row r="72" spans="2:6" s="96" customFormat="1">
      <c r="B72" s="115"/>
      <c r="C72" s="111" t="str">
        <f>'INSUMOS - QUANTIDADES'!C22</f>
        <v>Concentrado creep</v>
      </c>
      <c r="D72" s="103" t="s">
        <v>144</v>
      </c>
      <c r="E72" s="107"/>
      <c r="F72" s="108">
        <v>0.81530000000000014</v>
      </c>
    </row>
    <row r="73" spans="2:6" s="96" customFormat="1">
      <c r="B73" s="115"/>
      <c r="C73" s="111" t="str">
        <f>'INSUMOS - QUANTIDADES'!C35</f>
        <v>Concentrado terminação</v>
      </c>
      <c r="D73" s="103" t="s">
        <v>144</v>
      </c>
      <c r="E73" s="107"/>
      <c r="F73" s="108">
        <v>0.81530000000000014</v>
      </c>
    </row>
    <row r="74" spans="2:6" s="96" customFormat="1">
      <c r="B74" s="115"/>
      <c r="C74" s="111" t="s">
        <v>494</v>
      </c>
      <c r="D74" s="106" t="s">
        <v>144</v>
      </c>
      <c r="E74" s="107"/>
      <c r="F74" s="108">
        <v>0.81530000000000014</v>
      </c>
    </row>
    <row r="75" spans="2:6">
      <c r="B75" s="8"/>
      <c r="C75" s="111" t="str">
        <f>'INSUMOS - QUANTIDADES'!C61</f>
        <v>Concentrado adultos</v>
      </c>
      <c r="D75" s="106" t="s">
        <v>144</v>
      </c>
      <c r="E75" s="107"/>
      <c r="F75" s="108">
        <v>0.81530000000000014</v>
      </c>
    </row>
    <row r="76" spans="2:6">
      <c r="B76" s="315" t="s">
        <v>146</v>
      </c>
      <c r="C76" s="316"/>
      <c r="D76" s="106"/>
      <c r="E76" s="114"/>
      <c r="F76" s="110"/>
    </row>
    <row r="77" spans="2:6" s="96" customFormat="1">
      <c r="B77" s="250"/>
      <c r="C77" s="116" t="str">
        <f>'INSUMOS - QUANTIDADES'!B131</f>
        <v>Vacina contra Clostridioses</v>
      </c>
      <c r="D77" s="103" t="s">
        <v>147</v>
      </c>
      <c r="E77" s="107"/>
      <c r="F77" s="108">
        <v>0.94499999999999995</v>
      </c>
    </row>
    <row r="78" spans="2:6" s="96" customFormat="1">
      <c r="B78" s="250"/>
      <c r="C78" s="116" t="str">
        <f>'INSUMOS - QUANTIDADES'!B136</f>
        <v>Vacina contra Pasteurelose</v>
      </c>
      <c r="D78" s="103" t="s">
        <v>147</v>
      </c>
      <c r="E78" s="107"/>
      <c r="F78" s="108"/>
    </row>
    <row r="79" spans="2:6" s="96" customFormat="1">
      <c r="B79" s="250"/>
      <c r="C79" s="116" t="str">
        <f>'INSUMOS - QUANTIDADES'!B141</f>
        <v>Vacina contra Linfadenite</v>
      </c>
      <c r="D79" s="103" t="s">
        <v>147</v>
      </c>
      <c r="E79" s="107"/>
      <c r="F79" s="108"/>
    </row>
    <row r="80" spans="2:6" s="96" customFormat="1">
      <c r="B80" s="250"/>
      <c r="C80" s="116" t="str">
        <f>'INSUMOS - QUANTIDADES'!B146</f>
        <v>Vacina contra Foot Rot</v>
      </c>
      <c r="D80" s="103" t="s">
        <v>147</v>
      </c>
      <c r="E80" s="107"/>
      <c r="F80" s="108"/>
    </row>
    <row r="81" spans="2:6">
      <c r="B81" s="263"/>
      <c r="C81" s="117" t="str">
        <f>'INSUMOS - QUANTIDADES'!B151</f>
        <v>Vacina contra outra coisa</v>
      </c>
      <c r="D81" s="106" t="s">
        <v>147</v>
      </c>
      <c r="E81" s="107"/>
      <c r="F81" s="108">
        <v>0</v>
      </c>
    </row>
    <row r="82" spans="2:6" s="96" customFormat="1">
      <c r="B82" s="115"/>
      <c r="C82" s="111" t="str">
        <f>'INSUMOS - QUANTIDADES'!B156</f>
        <v>Anti helmíntico Tipo 1</v>
      </c>
      <c r="D82" s="103" t="s">
        <v>148</v>
      </c>
      <c r="E82" s="107"/>
      <c r="F82" s="108">
        <v>6.6860000000000003E-2</v>
      </c>
    </row>
    <row r="83" spans="2:6" s="96" customFormat="1">
      <c r="B83" s="115"/>
      <c r="C83" s="111" t="str">
        <f>'INSUMOS - QUANTIDADES'!B161</f>
        <v>Anti helmíntico Tipo 2</v>
      </c>
      <c r="D83" s="103" t="s">
        <v>148</v>
      </c>
      <c r="E83" s="107"/>
      <c r="F83" s="108"/>
    </row>
    <row r="84" spans="2:6" s="96" customFormat="1">
      <c r="B84" s="115"/>
      <c r="C84" s="111" t="str">
        <f>'INSUMOS - QUANTIDADES'!B166</f>
        <v>Anti helmíntico Tipo 3</v>
      </c>
      <c r="D84" s="103" t="s">
        <v>148</v>
      </c>
      <c r="E84" s="107"/>
      <c r="F84" s="108"/>
    </row>
    <row r="85" spans="2:6">
      <c r="B85" s="8"/>
      <c r="C85" s="111" t="str">
        <f>'INSUMOS - QUANTIDADES'!B171</f>
        <v>Outro medicamento</v>
      </c>
      <c r="D85" s="103" t="s">
        <v>148</v>
      </c>
      <c r="E85" s="107"/>
      <c r="F85" s="108">
        <v>0</v>
      </c>
    </row>
    <row r="86" spans="2:6">
      <c r="B86" s="315" t="s">
        <v>149</v>
      </c>
      <c r="C86" s="316"/>
      <c r="D86" s="106"/>
      <c r="E86" s="114"/>
      <c r="F86" s="110"/>
    </row>
    <row r="87" spans="2:6">
      <c r="B87" s="8"/>
      <c r="C87" s="105" t="s">
        <v>48</v>
      </c>
      <c r="D87" s="106" t="s">
        <v>150</v>
      </c>
      <c r="E87" s="107"/>
      <c r="F87" s="108">
        <v>0</v>
      </c>
    </row>
    <row r="88" spans="2:6">
      <c r="B88" s="8"/>
      <c r="C88" s="105" t="s">
        <v>49</v>
      </c>
      <c r="D88" s="106" t="s">
        <v>150</v>
      </c>
      <c r="E88" s="107"/>
      <c r="F88" s="108">
        <v>0</v>
      </c>
    </row>
    <row r="89" spans="2:6">
      <c r="B89" s="315" t="s">
        <v>425</v>
      </c>
      <c r="C89" s="316"/>
      <c r="D89" s="106"/>
      <c r="E89" s="114"/>
      <c r="F89" s="110"/>
    </row>
    <row r="90" spans="2:6">
      <c r="B90" s="8"/>
      <c r="C90" s="105" t="s">
        <v>20</v>
      </c>
      <c r="D90" s="106" t="s">
        <v>427</v>
      </c>
      <c r="E90" s="107"/>
      <c r="F90" s="108"/>
    </row>
    <row r="91" spans="2:6">
      <c r="B91" s="8"/>
      <c r="C91" s="105" t="s">
        <v>342</v>
      </c>
      <c r="D91" s="106" t="s">
        <v>427</v>
      </c>
      <c r="E91" s="107"/>
      <c r="F91" s="108"/>
    </row>
    <row r="92" spans="2:6">
      <c r="B92" s="8"/>
      <c r="C92" s="105" t="s">
        <v>426</v>
      </c>
      <c r="D92" s="106" t="s">
        <v>427</v>
      </c>
      <c r="E92" s="107"/>
      <c r="F92" s="108"/>
    </row>
    <row r="93" spans="2:6">
      <c r="B93" s="315" t="s">
        <v>529</v>
      </c>
      <c r="C93" s="316"/>
      <c r="D93" s="106"/>
      <c r="E93" s="107"/>
      <c r="F93" s="108"/>
    </row>
    <row r="94" spans="2:6">
      <c r="B94" s="8"/>
      <c r="C94" s="105" t="str">
        <f>'INSUMOS - QUANTIDADES'!B283</f>
        <v>Serviço de abate</v>
      </c>
      <c r="D94" s="106" t="str">
        <f>'INSUMOS - QUANTIDADES'!E283</f>
        <v>cabeças/ciclo</v>
      </c>
      <c r="E94" s="107"/>
      <c r="F94" s="108">
        <v>30</v>
      </c>
    </row>
    <row r="95" spans="2:6">
      <c r="B95" s="8"/>
      <c r="C95" s="105" t="str">
        <f>'INSUMOS - QUANTIDADES'!B284</f>
        <v>Serviço de desossa</v>
      </c>
      <c r="D95" s="106" t="str">
        <f>'INSUMOS - QUANTIDADES'!E284</f>
        <v>cabeças/ciclo</v>
      </c>
      <c r="E95" s="107"/>
      <c r="F95" s="108">
        <v>80</v>
      </c>
    </row>
    <row r="96" spans="2:6">
      <c r="B96" s="8"/>
      <c r="C96" s="105" t="str">
        <f>'INSUMOS - QUANTIDADES'!B285</f>
        <v>Serviço de armazenamento</v>
      </c>
      <c r="D96" s="106" t="str">
        <f>'INSUMOS - QUANTIDADES'!E285</f>
        <v>cabeças/ciclo</v>
      </c>
      <c r="E96" s="107"/>
      <c r="F96" s="108">
        <v>20</v>
      </c>
    </row>
    <row r="97" spans="2:6">
      <c r="B97" s="8"/>
      <c r="C97" s="105" t="s">
        <v>530</v>
      </c>
      <c r="D97" s="106"/>
      <c r="E97" s="107"/>
      <c r="F97" s="108"/>
    </row>
    <row r="98" spans="2:6">
      <c r="B98" s="8"/>
      <c r="C98" s="105" t="str">
        <f>'INSUMOS - QUANTIDADES'!D286</f>
        <v>Linguiça</v>
      </c>
      <c r="D98" s="106" t="str">
        <f>'INSUMOS - QUANTIDADES'!E286</f>
        <v>kg/ciclo</v>
      </c>
      <c r="E98" s="107"/>
      <c r="F98" s="108">
        <v>10</v>
      </c>
    </row>
    <row r="99" spans="2:6">
      <c r="B99" s="8"/>
      <c r="C99" s="105" t="str">
        <f>'INSUMOS - QUANTIDADES'!D287</f>
        <v>Hambúrguer</v>
      </c>
      <c r="D99" s="106" t="str">
        <f>'INSUMOS - QUANTIDADES'!E287</f>
        <v>kg/ciclo</v>
      </c>
      <c r="E99" s="107"/>
      <c r="F99" s="108">
        <v>0</v>
      </c>
    </row>
    <row r="100" spans="2:6">
      <c r="B100" s="8"/>
      <c r="C100" s="105" t="str">
        <f>'INSUMOS - QUANTIDADES'!D288</f>
        <v>Outro 1</v>
      </c>
      <c r="D100" s="106" t="str">
        <f>'INSUMOS - QUANTIDADES'!E288</f>
        <v>kg/ciclo</v>
      </c>
      <c r="E100" s="107"/>
      <c r="F100" s="108">
        <v>0</v>
      </c>
    </row>
    <row r="101" spans="2:6">
      <c r="B101" s="8"/>
      <c r="C101" s="105" t="str">
        <f>'INSUMOS - QUANTIDADES'!D289</f>
        <v>Outro 2</v>
      </c>
      <c r="D101" s="106" t="str">
        <f>'INSUMOS - QUANTIDADES'!E289</f>
        <v>kg/ciclo</v>
      </c>
      <c r="E101" s="107"/>
      <c r="F101" s="108">
        <v>0</v>
      </c>
    </row>
    <row r="102" spans="2:6">
      <c r="B102" s="8"/>
      <c r="C102" s="105" t="str">
        <f>'INSUMOS - QUANTIDADES'!D290</f>
        <v>Outro 3</v>
      </c>
      <c r="D102" s="106" t="str">
        <f>'INSUMOS - QUANTIDADES'!E290</f>
        <v>kg/ciclo</v>
      </c>
      <c r="E102" s="107"/>
      <c r="F102" s="108">
        <v>0</v>
      </c>
    </row>
    <row r="103" spans="2:6">
      <c r="B103" s="315" t="s">
        <v>151</v>
      </c>
      <c r="C103" s="316"/>
      <c r="D103" s="106"/>
      <c r="E103" s="114"/>
      <c r="F103" s="110"/>
    </row>
    <row r="104" spans="2:6" s="96" customFormat="1">
      <c r="B104" s="115"/>
      <c r="C104" s="111" t="s">
        <v>152</v>
      </c>
      <c r="D104" s="103" t="s">
        <v>153</v>
      </c>
      <c r="E104" s="107"/>
      <c r="F104" s="108">
        <v>1746.5500000000002</v>
      </c>
    </row>
    <row r="105" spans="2:6" s="96" customFormat="1">
      <c r="B105" s="317" t="s">
        <v>538</v>
      </c>
      <c r="C105" s="318"/>
      <c r="D105" s="103"/>
      <c r="E105" s="114"/>
      <c r="F105" s="110"/>
    </row>
    <row r="106" spans="2:6" s="96" customFormat="1">
      <c r="B106" s="115"/>
      <c r="C106" s="389" t="s">
        <v>406</v>
      </c>
      <c r="D106" s="103" t="s">
        <v>130</v>
      </c>
      <c r="E106" s="107"/>
      <c r="F106" s="108">
        <v>50</v>
      </c>
    </row>
    <row r="107" spans="2:6" s="96" customFormat="1">
      <c r="B107" s="115"/>
      <c r="C107" s="389" t="s">
        <v>540</v>
      </c>
      <c r="D107" s="103" t="s">
        <v>130</v>
      </c>
      <c r="E107" s="107"/>
      <c r="F107" s="108"/>
    </row>
    <row r="108" spans="2:6" s="96" customFormat="1">
      <c r="B108" s="115"/>
      <c r="C108" s="389" t="s">
        <v>541</v>
      </c>
      <c r="D108" s="103" t="s">
        <v>130</v>
      </c>
      <c r="E108" s="107"/>
      <c r="F108" s="108"/>
    </row>
    <row r="109" spans="2:6" s="96" customFormat="1">
      <c r="B109" s="317" t="s">
        <v>539</v>
      </c>
      <c r="C109" s="318"/>
      <c r="D109" s="103"/>
      <c r="E109" s="114"/>
      <c r="F109" s="110"/>
    </row>
    <row r="110" spans="2:6" s="96" customFormat="1">
      <c r="B110" s="115"/>
      <c r="C110" s="389" t="s">
        <v>542</v>
      </c>
      <c r="D110" s="103" t="s">
        <v>130</v>
      </c>
      <c r="E110" s="107"/>
      <c r="F110" s="108"/>
    </row>
    <row r="111" spans="2:6" s="96" customFormat="1">
      <c r="B111" s="115"/>
      <c r="C111" s="389" t="s">
        <v>543</v>
      </c>
      <c r="D111" s="103" t="s">
        <v>130</v>
      </c>
      <c r="E111" s="107"/>
      <c r="F111" s="108"/>
    </row>
    <row r="112" spans="2:6" s="96" customFormat="1">
      <c r="B112" s="115"/>
      <c r="C112" s="389" t="s">
        <v>544</v>
      </c>
      <c r="D112" s="103" t="s">
        <v>130</v>
      </c>
      <c r="E112" s="107"/>
      <c r="F112" s="108"/>
    </row>
    <row r="113" spans="2:6">
      <c r="B113" s="315" t="s">
        <v>154</v>
      </c>
      <c r="C113" s="316"/>
      <c r="D113" s="106"/>
      <c r="E113" s="114"/>
      <c r="F113" s="110"/>
    </row>
    <row r="114" spans="2:6">
      <c r="B114" s="8"/>
      <c r="C114" s="105" t="s">
        <v>155</v>
      </c>
      <c r="D114" s="106" t="s">
        <v>156</v>
      </c>
      <c r="E114" s="107"/>
      <c r="F114" s="108">
        <v>500</v>
      </c>
    </row>
    <row r="115" spans="2:6">
      <c r="B115" s="8"/>
      <c r="C115" s="105" t="s">
        <v>157</v>
      </c>
      <c r="D115" s="106" t="s">
        <v>156</v>
      </c>
      <c r="E115" s="107"/>
      <c r="F115" s="108">
        <v>100</v>
      </c>
    </row>
    <row r="116" spans="2:6">
      <c r="B116" s="315" t="s">
        <v>158</v>
      </c>
      <c r="C116" s="316"/>
      <c r="D116" s="106"/>
      <c r="E116" s="114"/>
      <c r="F116" s="110"/>
    </row>
    <row r="117" spans="2:6">
      <c r="B117" s="8"/>
      <c r="C117" s="105" t="s">
        <v>159</v>
      </c>
      <c r="D117" s="106" t="s">
        <v>156</v>
      </c>
      <c r="E117" s="107"/>
      <c r="F117" s="108">
        <v>100</v>
      </c>
    </row>
    <row r="118" spans="2:6">
      <c r="B118" s="8"/>
      <c r="C118" s="105" t="s">
        <v>160</v>
      </c>
      <c r="D118" s="106" t="s">
        <v>156</v>
      </c>
      <c r="E118" s="107"/>
      <c r="F118" s="108">
        <v>0</v>
      </c>
    </row>
    <row r="119" spans="2:6" s="96" customFormat="1">
      <c r="B119" s="317" t="s">
        <v>161</v>
      </c>
      <c r="C119" s="318"/>
      <c r="D119" s="103" t="s">
        <v>162</v>
      </c>
      <c r="E119" s="123"/>
      <c r="F119" s="124">
        <v>5.3579000000000002E-2</v>
      </c>
    </row>
    <row r="120" spans="2:6">
      <c r="B120" s="319" t="s">
        <v>163</v>
      </c>
      <c r="C120" s="320"/>
      <c r="D120" s="125" t="s">
        <v>162</v>
      </c>
      <c r="E120" s="126"/>
      <c r="F120" s="127">
        <v>5.3579000000000002E-2</v>
      </c>
    </row>
    <row r="122" spans="2:6">
      <c r="E122" s="128"/>
    </row>
  </sheetData>
  <sheetProtection password="D2B3" sheet="1" objects="1" scenarios="1" selectLockedCells="1"/>
  <mergeCells count="22">
    <mergeCell ref="B109:C109"/>
    <mergeCell ref="B116:C116"/>
    <mergeCell ref="B119:C119"/>
    <mergeCell ref="B120:C120"/>
    <mergeCell ref="D9:D10"/>
    <mergeCell ref="F9:F10"/>
    <mergeCell ref="B9:C10"/>
    <mergeCell ref="B70:C70"/>
    <mergeCell ref="B71:C71"/>
    <mergeCell ref="B76:C76"/>
    <mergeCell ref="B86:C86"/>
    <mergeCell ref="B103:C103"/>
    <mergeCell ref="B113:C113"/>
    <mergeCell ref="B60:C60"/>
    <mergeCell ref="B105:C105"/>
    <mergeCell ref="B89:C89"/>
    <mergeCell ref="B93:C93"/>
    <mergeCell ref="B7:F7"/>
    <mergeCell ref="B33:C33"/>
    <mergeCell ref="B39:C39"/>
    <mergeCell ref="B45:C45"/>
    <mergeCell ref="B49:C49"/>
  </mergeCells>
  <pageMargins left="0.51" right="0.51" top="0.79" bottom="0.79" header="0.31" footer="0.31"/>
  <pageSetup paperSize="9" scale="71" orientation="portrait" horizontalDpi="300" verticalDpi="300" r:id="rId1"/>
  <rowBreaks count="1" manualBreakCount="1">
    <brk id="59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7:N258"/>
  <sheetViews>
    <sheetView zoomScale="85" zoomScaleNormal="85" zoomScaleSheetLayoutView="55" workbookViewId="0">
      <selection activeCell="N12" sqref="N12"/>
    </sheetView>
  </sheetViews>
  <sheetFormatPr defaultRowHeight="18.95" customHeight="1"/>
  <cols>
    <col min="1" max="1" width="1.7109375" style="1" customWidth="1"/>
    <col min="2" max="2" width="3.7109375" style="1" customWidth="1"/>
    <col min="3" max="3" width="5" style="49" customWidth="1"/>
    <col min="4" max="4" width="3.7109375" style="49" customWidth="1"/>
    <col min="5" max="5" width="5.5703125" style="49" customWidth="1"/>
    <col min="6" max="6" width="7.85546875" style="1" customWidth="1"/>
    <col min="7" max="7" width="9.42578125" style="1" customWidth="1"/>
    <col min="8" max="8" width="38.5703125" style="1" customWidth="1"/>
    <col min="9" max="10" width="17.7109375" style="2" customWidth="1"/>
    <col min="11" max="11" width="22.85546875" style="50" bestFit="1" customWidth="1"/>
    <col min="12" max="12" width="3.5703125" style="1" customWidth="1"/>
    <col min="13" max="13" width="61.85546875" style="1" bestFit="1" customWidth="1"/>
    <col min="14" max="14" width="9.85546875" style="1" bestFit="1" customWidth="1"/>
    <col min="15" max="16384" width="9.140625" style="1"/>
  </cols>
  <sheetData>
    <row r="7" spans="2:14" ht="18.95" customHeight="1">
      <c r="B7" s="313" t="s">
        <v>164</v>
      </c>
      <c r="C7" s="298"/>
      <c r="D7" s="298"/>
      <c r="E7" s="298"/>
      <c r="F7" s="298"/>
      <c r="G7" s="298"/>
      <c r="H7" s="298"/>
      <c r="I7" s="298"/>
      <c r="J7" s="298"/>
      <c r="K7" s="314"/>
    </row>
    <row r="9" spans="2:14" ht="18.95" customHeight="1">
      <c r="B9" s="3" t="s">
        <v>165</v>
      </c>
      <c r="C9" s="332" t="s">
        <v>166</v>
      </c>
      <c r="D9" s="332"/>
      <c r="E9" s="332"/>
      <c r="F9" s="332"/>
      <c r="G9" s="332"/>
      <c r="H9" s="332"/>
      <c r="I9" s="51" t="s">
        <v>167</v>
      </c>
      <c r="J9" s="257" t="s">
        <v>109</v>
      </c>
      <c r="K9" s="58" t="s">
        <v>168</v>
      </c>
      <c r="M9" s="313" t="s">
        <v>169</v>
      </c>
      <c r="N9" s="314"/>
    </row>
    <row r="10" spans="2:14" s="47" customFormat="1" ht="18.95" customHeight="1" thickBot="1">
      <c r="B10" s="52"/>
      <c r="C10" s="53" t="s">
        <v>170</v>
      </c>
      <c r="D10" s="333" t="s">
        <v>171</v>
      </c>
      <c r="E10" s="333"/>
      <c r="F10" s="333"/>
      <c r="G10" s="333"/>
      <c r="H10" s="334"/>
      <c r="I10" s="54"/>
      <c r="J10" s="59"/>
      <c r="K10" s="60"/>
      <c r="M10" s="1"/>
      <c r="N10" s="2"/>
    </row>
    <row r="11" spans="2:14" ht="18.95" customHeight="1">
      <c r="B11" s="8"/>
      <c r="C11" s="55"/>
      <c r="D11" s="55" t="s">
        <v>172</v>
      </c>
      <c r="E11" s="353" t="s">
        <v>173</v>
      </c>
      <c r="F11" s="353"/>
      <c r="G11" s="353"/>
      <c r="H11" s="353"/>
      <c r="I11" s="56"/>
      <c r="J11" s="61"/>
      <c r="K11" s="10"/>
      <c r="M11" s="62" t="s">
        <v>174</v>
      </c>
      <c r="N11" s="63">
        <v>350</v>
      </c>
    </row>
    <row r="12" spans="2:14" ht="18.95" customHeight="1">
      <c r="B12" s="8"/>
      <c r="C12" s="55"/>
      <c r="D12" s="55"/>
      <c r="E12" s="55" t="s">
        <v>175</v>
      </c>
      <c r="F12" s="277" t="s">
        <v>8</v>
      </c>
      <c r="G12" s="277"/>
      <c r="H12" s="277"/>
      <c r="I12" s="56"/>
      <c r="J12" s="61"/>
      <c r="K12" s="10"/>
      <c r="M12" s="64" t="s">
        <v>176</v>
      </c>
      <c r="N12" s="65">
        <v>6</v>
      </c>
    </row>
    <row r="13" spans="2:14" ht="18.95" customHeight="1">
      <c r="B13" s="8"/>
      <c r="C13" s="55"/>
      <c r="D13" s="55"/>
      <c r="E13" s="55"/>
      <c r="F13" s="262" t="s">
        <v>177</v>
      </c>
      <c r="G13" s="277" t="str">
        <f>'INSUMOS - QUANTIDADES'!C11</f>
        <v>Sal mineral</v>
      </c>
      <c r="H13" s="335"/>
      <c r="I13" s="56">
        <f>('INSUMOS - QUANTIDADES'!G11*'INSUMOS - QUANTIDADES'!F11)+'INSUMOS - QUANTIDADES'!G24*'INSUMOS - QUANTIDADES'!F24</f>
        <v>2.0699999999999998</v>
      </c>
      <c r="J13" s="61" t="s">
        <v>178</v>
      </c>
      <c r="K13" s="10">
        <f>(($I$13)*'INSUMOS - PREÇOS'!F70*$N$13)</f>
        <v>1377.4425839999997</v>
      </c>
      <c r="M13" s="64" t="s">
        <v>179</v>
      </c>
      <c r="N13" s="66">
        <f>N11*N19*N17*N20*(12/N18)</f>
        <v>408.23999999999995</v>
      </c>
    </row>
    <row r="14" spans="2:14" ht="18.95" customHeight="1">
      <c r="B14" s="8"/>
      <c r="C14" s="55"/>
      <c r="D14" s="55"/>
      <c r="E14" s="55"/>
      <c r="F14" s="262" t="s">
        <v>180</v>
      </c>
      <c r="G14" s="277" t="s">
        <v>181</v>
      </c>
      <c r="H14" s="335"/>
      <c r="I14" s="56"/>
      <c r="J14" s="61"/>
      <c r="K14" s="10"/>
      <c r="M14" s="64" t="s">
        <v>513</v>
      </c>
      <c r="N14" s="390">
        <v>200</v>
      </c>
    </row>
    <row r="15" spans="2:14" ht="18.95" customHeight="1">
      <c r="B15" s="8"/>
      <c r="C15" s="55"/>
      <c r="D15" s="55"/>
      <c r="E15" s="55"/>
      <c r="F15" s="262"/>
      <c r="G15" s="262" t="s">
        <v>183</v>
      </c>
      <c r="H15" s="243" t="str">
        <f>'INSUMOS - QUANTIDADES'!C12</f>
        <v>Pastagem</v>
      </c>
      <c r="I15" s="57">
        <f>('INSUMOS - QUANTIDADES'!G12*'INSUMOS - QUANTIDADES'!F12)+('INSUMOS - QUANTIDADES'!G25*'INSUMOS - QUANTIDADES'!F25)</f>
        <v>0</v>
      </c>
      <c r="J15" s="61" t="s">
        <v>178</v>
      </c>
      <c r="K15" s="10">
        <f>((('INSUMOS - PREÇOS'!F104*$I$209)/(($I$15*$N$13)+($I$30*$N$14)+($I$44*$N$11)+($I$58*$N$12))))*($I$15*$N$13)</f>
        <v>0</v>
      </c>
      <c r="M15" s="64" t="s">
        <v>182</v>
      </c>
      <c r="N15" s="65">
        <v>0</v>
      </c>
    </row>
    <row r="16" spans="2:14" ht="18.95" customHeight="1">
      <c r="B16" s="8"/>
      <c r="C16" s="55"/>
      <c r="D16" s="55"/>
      <c r="E16" s="55"/>
      <c r="F16" s="262"/>
      <c r="G16" s="262" t="s">
        <v>185</v>
      </c>
      <c r="H16" s="243" t="str">
        <f>'INSUMOS - QUANTIDADES'!C13</f>
        <v>Volumoso 1</v>
      </c>
      <c r="I16" s="57">
        <f>('INSUMOS - QUANTIDADES'!G13*'INSUMOS - QUANTIDADES'!F13)+('INSUMOS - QUANTIDADES'!G26*'INSUMOS - QUANTIDADES'!F26)</f>
        <v>0</v>
      </c>
      <c r="J16" s="61" t="s">
        <v>178</v>
      </c>
      <c r="K16" s="10">
        <f>(($I$16)*('INSUMOS - PREÇOS'!F61/1000))*$N$13</f>
        <v>0</v>
      </c>
      <c r="M16" s="64" t="s">
        <v>184</v>
      </c>
      <c r="N16" s="67">
        <v>0.15</v>
      </c>
    </row>
    <row r="17" spans="2:14" ht="18.95" customHeight="1">
      <c r="B17" s="8"/>
      <c r="C17" s="55"/>
      <c r="D17" s="55"/>
      <c r="E17" s="55"/>
      <c r="F17" s="262"/>
      <c r="G17" s="262" t="s">
        <v>187</v>
      </c>
      <c r="H17" s="243" t="str">
        <f>'INSUMOS - QUANTIDADES'!C14</f>
        <v>Volumoso 2</v>
      </c>
      <c r="I17" s="57">
        <f>('INSUMOS - QUANTIDADES'!G14*'INSUMOS - QUANTIDADES'!F14)+('INSUMOS - QUANTIDADES'!G27*'INSUMOS - QUANTIDADES'!F27)</f>
        <v>339</v>
      </c>
      <c r="J17" s="61" t="s">
        <v>178</v>
      </c>
      <c r="K17" s="10">
        <f>(($I$17)*('INSUMOS - PREÇOS'!F62/1000))*$N$13</f>
        <v>7437.2591664000001</v>
      </c>
      <c r="M17" s="64" t="s">
        <v>186</v>
      </c>
      <c r="N17" s="68">
        <v>1.2</v>
      </c>
    </row>
    <row r="18" spans="2:14" ht="18.95" customHeight="1">
      <c r="B18" s="8"/>
      <c r="C18" s="55"/>
      <c r="D18" s="55"/>
      <c r="E18" s="55"/>
      <c r="F18" s="262"/>
      <c r="G18" s="262" t="s">
        <v>189</v>
      </c>
      <c r="H18" s="243" t="str">
        <f>'INSUMOS - QUANTIDADES'!C15</f>
        <v>Volumoso 3</v>
      </c>
      <c r="I18" s="57">
        <f>('INSUMOS - QUANTIDADES'!G15*'INSUMOS - QUANTIDADES'!F15)+('INSUMOS - QUANTIDADES'!G28*'INSUMOS - QUANTIDADES'!F28)</f>
        <v>0</v>
      </c>
      <c r="J18" s="61" t="s">
        <v>178</v>
      </c>
      <c r="K18" s="10">
        <f>$I$18*('INSUMOS - PREÇOS'!F63/1000)*$N$13</f>
        <v>0</v>
      </c>
      <c r="M18" s="64" t="s">
        <v>188</v>
      </c>
      <c r="N18" s="65">
        <v>10</v>
      </c>
    </row>
    <row r="19" spans="2:14" ht="18.95" customHeight="1">
      <c r="B19" s="8"/>
      <c r="C19" s="55"/>
      <c r="D19" s="55"/>
      <c r="E19" s="55"/>
      <c r="F19" s="262"/>
      <c r="G19" s="262" t="s">
        <v>190</v>
      </c>
      <c r="H19" s="243" t="str">
        <f>'INSUMOS - QUANTIDADES'!C16</f>
        <v>Volumoso 4</v>
      </c>
      <c r="I19" s="57">
        <f>('INSUMOS - QUANTIDADES'!G16*'INSUMOS - QUANTIDADES'!F16)+('INSUMOS - QUANTIDADES'!G29*'INSUMOS - QUANTIDADES'!F29)</f>
        <v>0</v>
      </c>
      <c r="J19" s="61" t="s">
        <v>178</v>
      </c>
      <c r="K19" s="10">
        <f>$I$19*('INSUMOS - PREÇOS'!F64/1000)*$N$13</f>
        <v>0</v>
      </c>
      <c r="M19" s="64" t="s">
        <v>355</v>
      </c>
      <c r="N19" s="68">
        <v>0.9</v>
      </c>
    </row>
    <row r="20" spans="2:14" ht="18.95" customHeight="1">
      <c r="B20" s="8"/>
      <c r="C20" s="55"/>
      <c r="D20" s="55"/>
      <c r="E20" s="55"/>
      <c r="F20" s="262"/>
      <c r="G20" s="262" t="s">
        <v>358</v>
      </c>
      <c r="H20" s="243" t="str">
        <f>'INSUMOS - QUANTIDADES'!C17</f>
        <v>Volumoso 5</v>
      </c>
      <c r="I20" s="57">
        <f>('INSUMOS - QUANTIDADES'!G17*'INSUMOS - QUANTIDADES'!F17)+('INSUMOS - QUANTIDADES'!G30*'INSUMOS - QUANTIDADES'!F30)</f>
        <v>0</v>
      </c>
      <c r="J20" s="61" t="s">
        <v>178</v>
      </c>
      <c r="K20" s="10">
        <f>(($I$20)*('INSUMOS - PREÇOS'!F65/1000))*$N$13</f>
        <v>0</v>
      </c>
      <c r="M20" s="64" t="s">
        <v>191</v>
      </c>
      <c r="N20" s="68">
        <v>0.9</v>
      </c>
    </row>
    <row r="21" spans="2:14" ht="18.95" customHeight="1">
      <c r="B21" s="8"/>
      <c r="C21" s="55"/>
      <c r="D21" s="55"/>
      <c r="E21" s="55"/>
      <c r="F21" s="262"/>
      <c r="G21" s="262" t="s">
        <v>359</v>
      </c>
      <c r="H21" s="243" t="str">
        <f>'INSUMOS - QUANTIDADES'!C18</f>
        <v>Volumoso 6</v>
      </c>
      <c r="I21" s="57">
        <f>('INSUMOS - QUANTIDADES'!G18*'INSUMOS - QUANTIDADES'!F18)+('INSUMOS - QUANTIDADES'!G31*'INSUMOS - QUANTIDADES'!F31)</f>
        <v>0</v>
      </c>
      <c r="J21" s="61" t="s">
        <v>178</v>
      </c>
      <c r="K21" s="10">
        <f>(($I$21)*('INSUMOS - PREÇOS'!F66/1000))*$N$13</f>
        <v>0</v>
      </c>
      <c r="M21" s="64" t="s">
        <v>193</v>
      </c>
      <c r="N21" s="69">
        <v>75</v>
      </c>
    </row>
    <row r="22" spans="2:14" ht="18.95" customHeight="1">
      <c r="B22" s="8"/>
      <c r="C22" s="55"/>
      <c r="D22" s="55"/>
      <c r="E22" s="55"/>
      <c r="F22" s="262"/>
      <c r="G22" s="262" t="s">
        <v>360</v>
      </c>
      <c r="H22" s="243" t="str">
        <f>'INSUMOS - QUANTIDADES'!C19</f>
        <v>Volumoso 7</v>
      </c>
      <c r="I22" s="57">
        <f>('INSUMOS - QUANTIDADES'!G19*'INSUMOS - QUANTIDADES'!F19)+('INSUMOS - QUANTIDADES'!G32*'INSUMOS - QUANTIDADES'!F32)</f>
        <v>0</v>
      </c>
      <c r="J22" s="61" t="s">
        <v>178</v>
      </c>
      <c r="K22" s="10">
        <f>$I$22*('INSUMOS - PREÇOS'!F67/1000)*$N$13</f>
        <v>0</v>
      </c>
      <c r="M22" s="64" t="s">
        <v>196</v>
      </c>
      <c r="N22" s="65">
        <v>40</v>
      </c>
    </row>
    <row r="23" spans="2:14" ht="18.95" customHeight="1">
      <c r="B23" s="8"/>
      <c r="C23" s="55"/>
      <c r="D23" s="55"/>
      <c r="E23" s="55"/>
      <c r="F23" s="262"/>
      <c r="G23" s="262" t="s">
        <v>361</v>
      </c>
      <c r="H23" s="243" t="str">
        <f>'INSUMOS - QUANTIDADES'!C20</f>
        <v>Volumoso 8</v>
      </c>
      <c r="I23" s="57">
        <f>('INSUMOS - QUANTIDADES'!G20*'INSUMOS - QUANTIDADES'!F20)+('INSUMOS - QUANTIDADES'!G33*'INSUMOS - QUANTIDADES'!F33)</f>
        <v>0</v>
      </c>
      <c r="J23" s="61" t="s">
        <v>178</v>
      </c>
      <c r="K23" s="10">
        <f>$I$23*('INSUMOS - PREÇOS'!F68/1000)*$N$13</f>
        <v>0</v>
      </c>
      <c r="M23" s="64" t="s">
        <v>199</v>
      </c>
      <c r="N23" s="65">
        <v>140</v>
      </c>
    </row>
    <row r="24" spans="2:14" ht="18.95" customHeight="1">
      <c r="B24" s="8"/>
      <c r="C24" s="55"/>
      <c r="D24" s="55"/>
      <c r="E24" s="55"/>
      <c r="F24" s="262"/>
      <c r="G24" s="262" t="s">
        <v>362</v>
      </c>
      <c r="H24" s="243" t="str">
        <f>'INSUMOS - QUANTIDADES'!C21</f>
        <v>Volumoso 9</v>
      </c>
      <c r="I24" s="57">
        <f>('INSUMOS - QUANTIDADES'!G21*'INSUMOS - QUANTIDADES'!F21)+('INSUMOS - QUANTIDADES'!G34*'INSUMOS - QUANTIDADES'!F34)</f>
        <v>0</v>
      </c>
      <c r="J24" s="61" t="s">
        <v>178</v>
      </c>
      <c r="K24" s="10">
        <f>(($I$24)*('INSUMOS - PREÇOS'!F69/1000))*$N$13</f>
        <v>0</v>
      </c>
      <c r="M24" s="64" t="s">
        <v>201</v>
      </c>
      <c r="N24" s="68">
        <v>0.48</v>
      </c>
    </row>
    <row r="25" spans="2:14" ht="18.95" customHeight="1">
      <c r="B25" s="8"/>
      <c r="C25" s="55"/>
      <c r="D25" s="55"/>
      <c r="E25" s="55"/>
      <c r="F25" s="262" t="s">
        <v>192</v>
      </c>
      <c r="G25" s="277" t="s">
        <v>18</v>
      </c>
      <c r="H25" s="335"/>
      <c r="I25" s="57">
        <f>'INSUMOS - QUANTIDADES'!G22*'INSUMOS - QUANTIDADES'!F22</f>
        <v>21.599999999999998</v>
      </c>
      <c r="J25" s="61" t="s">
        <v>178</v>
      </c>
      <c r="K25" s="10">
        <f>(($I$25)*('INSUMOS - PREÇOS'!F72))*$N$13</f>
        <v>7189.3023552000004</v>
      </c>
      <c r="M25" s="64" t="s">
        <v>464</v>
      </c>
      <c r="N25" s="391">
        <v>3</v>
      </c>
    </row>
    <row r="26" spans="2:14" ht="18.95" customHeight="1">
      <c r="B26" s="8"/>
      <c r="C26" s="55"/>
      <c r="D26" s="55"/>
      <c r="E26" s="55"/>
      <c r="F26" s="262" t="s">
        <v>194</v>
      </c>
      <c r="G26" s="277" t="s">
        <v>195</v>
      </c>
      <c r="H26" s="335"/>
      <c r="I26" s="57">
        <f>('INSUMOS - QUANTIDADES'!G35*'INSUMOS - QUANTIDADES'!F35)</f>
        <v>39</v>
      </c>
      <c r="J26" s="61" t="s">
        <v>178</v>
      </c>
      <c r="K26" s="10">
        <f>(($I$26)*('INSUMOS - PREÇOS'!F73))*$N$13</f>
        <v>12980.684808</v>
      </c>
      <c r="M26" s="64" t="s">
        <v>465</v>
      </c>
      <c r="N26" s="391">
        <v>2</v>
      </c>
    </row>
    <row r="27" spans="2:14" ht="18.95" customHeight="1" thickBot="1">
      <c r="B27" s="8"/>
      <c r="C27" s="55"/>
      <c r="D27" s="55"/>
      <c r="E27" s="55" t="s">
        <v>197</v>
      </c>
      <c r="F27" s="277" t="s">
        <v>490</v>
      </c>
      <c r="G27" s="277"/>
      <c r="H27" s="335"/>
      <c r="I27" s="57"/>
      <c r="J27" s="61"/>
      <c r="K27" s="10"/>
      <c r="M27" s="70" t="s">
        <v>466</v>
      </c>
      <c r="N27" s="392">
        <v>4</v>
      </c>
    </row>
    <row r="28" spans="2:14" ht="18.95" customHeight="1">
      <c r="B28" s="8"/>
      <c r="C28" s="55"/>
      <c r="D28" s="55"/>
      <c r="E28" s="55"/>
      <c r="F28" s="262" t="s">
        <v>200</v>
      </c>
      <c r="G28" s="277" t="s">
        <v>10</v>
      </c>
      <c r="H28" s="335"/>
      <c r="I28" s="57">
        <f>('INSUMOS - QUANTIDADES'!G37*'INSUMOS - QUANTIDADES'!F37)</f>
        <v>0</v>
      </c>
      <c r="J28" s="61" t="s">
        <v>178</v>
      </c>
      <c r="K28" s="10">
        <f>(($I$28)*'INSUMOS - PREÇOS'!F70*$N$14)</f>
        <v>0</v>
      </c>
    </row>
    <row r="29" spans="2:14" ht="18.95" customHeight="1">
      <c r="B29" s="8"/>
      <c r="C29" s="55"/>
      <c r="D29" s="55"/>
      <c r="E29" s="55"/>
      <c r="F29" s="262" t="s">
        <v>202</v>
      </c>
      <c r="G29" s="277" t="s">
        <v>181</v>
      </c>
      <c r="H29" s="335"/>
      <c r="I29" s="57"/>
      <c r="J29" s="61"/>
      <c r="K29" s="10"/>
    </row>
    <row r="30" spans="2:14" ht="18.95" customHeight="1">
      <c r="B30" s="8"/>
      <c r="C30" s="55"/>
      <c r="D30" s="55"/>
      <c r="E30" s="55"/>
      <c r="F30" s="262"/>
      <c r="G30" s="262" t="s">
        <v>203</v>
      </c>
      <c r="H30" s="243" t="str">
        <f>'INSUMOS - QUANTIDADES'!C38</f>
        <v>Pastagem</v>
      </c>
      <c r="I30" s="57">
        <f>('INSUMOS - QUANTIDADES'!G38*'INSUMOS - QUANTIDADES'!F38)</f>
        <v>0</v>
      </c>
      <c r="J30" s="61" t="s">
        <v>178</v>
      </c>
      <c r="K30" s="10">
        <f>((('INSUMOS - PREÇOS'!F104*$I$209)/(($I$15*$N$13)+($I$30*$N$14)+($I$44*$N$11)+($I$58*$N$12))))*($I$30*$N$14)</f>
        <v>0</v>
      </c>
    </row>
    <row r="31" spans="2:14" ht="18.95" customHeight="1">
      <c r="B31" s="8"/>
      <c r="C31" s="55"/>
      <c r="D31" s="55"/>
      <c r="E31" s="55"/>
      <c r="F31" s="262"/>
      <c r="G31" s="262" t="s">
        <v>204</v>
      </c>
      <c r="H31" s="243" t="str">
        <f>'INSUMOS - QUANTIDADES'!C39</f>
        <v>Volumoso 1</v>
      </c>
      <c r="I31" s="57">
        <f>('INSUMOS - QUANTIDADES'!G39*'INSUMOS - QUANTIDADES'!F39)</f>
        <v>0</v>
      </c>
      <c r="J31" s="61" t="s">
        <v>178</v>
      </c>
      <c r="K31" s="10">
        <f>(($I$31)*('INSUMOS - PREÇOS'!F61/1000))*$N$14</f>
        <v>0</v>
      </c>
    </row>
    <row r="32" spans="2:14" ht="18.95" customHeight="1">
      <c r="B32" s="8"/>
      <c r="C32" s="55"/>
      <c r="D32" s="55"/>
      <c r="E32" s="55"/>
      <c r="F32" s="262"/>
      <c r="G32" s="262" t="s">
        <v>205</v>
      </c>
      <c r="H32" s="243" t="str">
        <f>'INSUMOS - QUANTIDADES'!C40</f>
        <v>Volumoso 2</v>
      </c>
      <c r="I32" s="57">
        <f>('INSUMOS - QUANTIDADES'!G40*'INSUMOS - QUANTIDADES'!F40)</f>
        <v>0</v>
      </c>
      <c r="J32" s="61" t="s">
        <v>178</v>
      </c>
      <c r="K32" s="10">
        <f>(($I$32)*('INSUMOS - PREÇOS'!F62/1000))*$N$14</f>
        <v>0</v>
      </c>
    </row>
    <row r="33" spans="2:11" ht="18.95" customHeight="1">
      <c r="B33" s="8"/>
      <c r="C33" s="55"/>
      <c r="D33" s="55"/>
      <c r="E33" s="55"/>
      <c r="F33" s="262"/>
      <c r="G33" s="262" t="s">
        <v>206</v>
      </c>
      <c r="H33" s="243" t="str">
        <f>'INSUMOS - QUANTIDADES'!C41</f>
        <v>Volumoso 3</v>
      </c>
      <c r="I33" s="57">
        <f>('INSUMOS - QUANTIDADES'!G41*'INSUMOS - QUANTIDADES'!F41)</f>
        <v>0</v>
      </c>
      <c r="J33" s="61" t="s">
        <v>178</v>
      </c>
      <c r="K33" s="10">
        <f>(($I$33)*('INSUMOS - PREÇOS'!F63/1000))*$N$14</f>
        <v>0</v>
      </c>
    </row>
    <row r="34" spans="2:11" ht="18.95" customHeight="1">
      <c r="B34" s="8"/>
      <c r="C34" s="55"/>
      <c r="D34" s="55"/>
      <c r="E34" s="55"/>
      <c r="F34" s="262"/>
      <c r="G34" s="262" t="s">
        <v>207</v>
      </c>
      <c r="H34" s="243" t="str">
        <f>'INSUMOS - QUANTIDADES'!C42</f>
        <v>Volumoso 4</v>
      </c>
      <c r="I34" s="57">
        <f>('INSUMOS - QUANTIDADES'!G42*'INSUMOS - QUANTIDADES'!F42)</f>
        <v>0</v>
      </c>
      <c r="J34" s="61" t="s">
        <v>178</v>
      </c>
      <c r="K34" s="10">
        <f>(($I$34)*('INSUMOS - PREÇOS'!F64/1000))*$N$14</f>
        <v>0</v>
      </c>
    </row>
    <row r="35" spans="2:11" ht="18.95" customHeight="1">
      <c r="B35" s="8"/>
      <c r="C35" s="55"/>
      <c r="D35" s="55"/>
      <c r="E35" s="55"/>
      <c r="F35" s="262"/>
      <c r="G35" s="262" t="s">
        <v>531</v>
      </c>
      <c r="H35" s="243" t="str">
        <f>'INSUMOS - QUANTIDADES'!C43</f>
        <v>Volumoso 5</v>
      </c>
      <c r="I35" s="57">
        <f>('INSUMOS - QUANTIDADES'!G43*'INSUMOS - QUANTIDADES'!F43)</f>
        <v>0</v>
      </c>
      <c r="J35" s="61" t="s">
        <v>178</v>
      </c>
      <c r="K35" s="10">
        <f>(($I$35)*('INSUMOS - PREÇOS'!F65/1000))*$N$14</f>
        <v>0</v>
      </c>
    </row>
    <row r="36" spans="2:11" ht="18.95" customHeight="1">
      <c r="B36" s="8"/>
      <c r="C36" s="55"/>
      <c r="D36" s="55"/>
      <c r="E36" s="55"/>
      <c r="F36" s="262"/>
      <c r="G36" s="262" t="s">
        <v>532</v>
      </c>
      <c r="H36" s="243" t="str">
        <f>'INSUMOS - QUANTIDADES'!C44</f>
        <v>Volumoso 6</v>
      </c>
      <c r="I36" s="57">
        <f>('INSUMOS - QUANTIDADES'!G44*'INSUMOS - QUANTIDADES'!F44)</f>
        <v>0</v>
      </c>
      <c r="J36" s="61" t="s">
        <v>178</v>
      </c>
      <c r="K36" s="10">
        <f>(($I$36)*('INSUMOS - PREÇOS'!F66/1000))*$N$14</f>
        <v>0</v>
      </c>
    </row>
    <row r="37" spans="2:11" ht="18.95" customHeight="1">
      <c r="B37" s="8"/>
      <c r="C37" s="55"/>
      <c r="D37" s="55"/>
      <c r="E37" s="55"/>
      <c r="F37" s="262"/>
      <c r="G37" s="262" t="s">
        <v>533</v>
      </c>
      <c r="H37" s="243" t="str">
        <f>'INSUMOS - QUANTIDADES'!C45</f>
        <v>Volumoso 7</v>
      </c>
      <c r="I37" s="57">
        <f>('INSUMOS - QUANTIDADES'!G45*'INSUMOS - QUANTIDADES'!F45)</f>
        <v>0</v>
      </c>
      <c r="J37" s="61" t="s">
        <v>178</v>
      </c>
      <c r="K37" s="10">
        <f>(($I$37)*('INSUMOS - PREÇOS'!F67/1000))*$N$14</f>
        <v>0</v>
      </c>
    </row>
    <row r="38" spans="2:11" ht="18.95" customHeight="1">
      <c r="B38" s="8"/>
      <c r="C38" s="55"/>
      <c r="D38" s="55"/>
      <c r="E38" s="55"/>
      <c r="F38" s="262"/>
      <c r="G38" s="262" t="s">
        <v>534</v>
      </c>
      <c r="H38" s="243" t="str">
        <f>'INSUMOS - QUANTIDADES'!C46</f>
        <v>Volumoso 8</v>
      </c>
      <c r="I38" s="57">
        <f>('INSUMOS - QUANTIDADES'!G46*'INSUMOS - QUANTIDADES'!F46)</f>
        <v>0</v>
      </c>
      <c r="J38" s="61" t="s">
        <v>178</v>
      </c>
      <c r="K38" s="10">
        <f>(($I$38)*('INSUMOS - PREÇOS'!F68/1000))*$N$14</f>
        <v>0</v>
      </c>
    </row>
    <row r="39" spans="2:11" ht="18.95" customHeight="1">
      <c r="B39" s="8"/>
      <c r="C39" s="55"/>
      <c r="D39" s="55"/>
      <c r="E39" s="55"/>
      <c r="F39" s="262"/>
      <c r="G39" s="262" t="s">
        <v>535</v>
      </c>
      <c r="H39" s="243" t="str">
        <f>'INSUMOS - QUANTIDADES'!C47</f>
        <v>Volumoso 9</v>
      </c>
      <c r="I39" s="57">
        <f>('INSUMOS - QUANTIDADES'!G47*'INSUMOS - QUANTIDADES'!F47)</f>
        <v>0</v>
      </c>
      <c r="J39" s="61" t="s">
        <v>178</v>
      </c>
      <c r="K39" s="10">
        <f>(($I$39)*('INSUMOS - PREÇOS'!F69/1000))*$N$14</f>
        <v>0</v>
      </c>
    </row>
    <row r="40" spans="2:11" ht="18.95" customHeight="1">
      <c r="B40" s="8"/>
      <c r="C40" s="55"/>
      <c r="D40" s="55"/>
      <c r="E40" s="55"/>
      <c r="F40" s="262" t="s">
        <v>208</v>
      </c>
      <c r="G40" s="277" t="s">
        <v>494</v>
      </c>
      <c r="H40" s="335"/>
      <c r="I40" s="57">
        <f>('INSUMOS - QUANTIDADES'!G48*'INSUMOS - QUANTIDADES'!F48)</f>
        <v>0</v>
      </c>
      <c r="J40" s="61" t="s">
        <v>178</v>
      </c>
      <c r="K40" s="10">
        <f>(($I$40)*('INSUMOS - PREÇOS'!F74))*$N$14</f>
        <v>0</v>
      </c>
    </row>
    <row r="41" spans="2:11" ht="18.95" customHeight="1">
      <c r="B41" s="8"/>
      <c r="C41" s="55"/>
      <c r="D41" s="55"/>
      <c r="E41" s="55" t="s">
        <v>209</v>
      </c>
      <c r="F41" s="277" t="s">
        <v>20</v>
      </c>
      <c r="G41" s="277"/>
      <c r="H41" s="335"/>
      <c r="I41" s="56"/>
      <c r="J41" s="61"/>
      <c r="K41" s="10"/>
    </row>
    <row r="42" spans="2:11" ht="18.95" customHeight="1">
      <c r="B42" s="8"/>
      <c r="C42" s="55"/>
      <c r="D42" s="55"/>
      <c r="E42" s="55"/>
      <c r="F42" s="262" t="s">
        <v>210</v>
      </c>
      <c r="G42" s="277" t="s">
        <v>10</v>
      </c>
      <c r="H42" s="335"/>
      <c r="I42" s="57">
        <f>('INSUMOS - QUANTIDADES'!G50*'INSUMOS - QUANTIDADES'!F50)+('INSUMOS - QUANTIDADES'!G62*'INSUMOS - QUANTIDADES'!F62)+('INSUMOS - QUANTIDADES'!G74*'INSUMOS - QUANTIDADES'!F74)+('INSUMOS - QUANTIDADES'!G86*'INSUMOS - QUANTIDADES'!F86)</f>
        <v>8.76</v>
      </c>
      <c r="J42" s="61" t="s">
        <v>178</v>
      </c>
      <c r="K42" s="10">
        <f>(($I$42)*'INSUMOS - PREÇOS'!F70*$N$11)</f>
        <v>4997.58</v>
      </c>
    </row>
    <row r="43" spans="2:11" ht="18.95" customHeight="1">
      <c r="B43" s="8"/>
      <c r="C43" s="55"/>
      <c r="D43" s="55"/>
      <c r="E43" s="55"/>
      <c r="F43" s="262" t="s">
        <v>211</v>
      </c>
      <c r="G43" s="277" t="s">
        <v>181</v>
      </c>
      <c r="H43" s="335"/>
      <c r="I43" s="56"/>
      <c r="J43" s="61"/>
      <c r="K43" s="10"/>
    </row>
    <row r="44" spans="2:11" ht="18.95" customHeight="1">
      <c r="B44" s="8"/>
      <c r="C44" s="55"/>
      <c r="D44" s="55"/>
      <c r="E44" s="55"/>
      <c r="F44" s="262"/>
      <c r="G44" s="262" t="s">
        <v>212</v>
      </c>
      <c r="H44" s="243" t="str">
        <f>'INSUMOS - QUANTIDADES'!C12</f>
        <v>Pastagem</v>
      </c>
      <c r="I44" s="56">
        <f>('INSUMOS - QUANTIDADES'!G51*'INSUMOS - QUANTIDADES'!F51)+('INSUMOS - QUANTIDADES'!G63*'INSUMOS - QUANTIDADES'!F63)+('INSUMOS - QUANTIDADES'!G75*'INSUMOS - QUANTIDADES'!F75)+('INSUMOS - QUANTIDADES'!G87*'INSUMOS - QUANTIDADES'!F87)</f>
        <v>928.8</v>
      </c>
      <c r="J44" s="61" t="s">
        <v>178</v>
      </c>
      <c r="K44" s="10">
        <f>((('INSUMOS - PREÇOS'!F104*$I$209)/(($I$15*$N$13)+($I$44*$N$11)+($I$58*$N$12))))*($I$44*$N$11)</f>
        <v>25553.056545690215</v>
      </c>
    </row>
    <row r="45" spans="2:11" ht="18.95" customHeight="1">
      <c r="B45" s="8"/>
      <c r="C45" s="55"/>
      <c r="D45" s="55"/>
      <c r="E45" s="55"/>
      <c r="F45" s="262"/>
      <c r="G45" s="262" t="s">
        <v>213</v>
      </c>
      <c r="H45" s="243" t="str">
        <f>'INSUMOS - QUANTIDADES'!C13</f>
        <v>Volumoso 1</v>
      </c>
      <c r="I45" s="56">
        <f>('INSUMOS - QUANTIDADES'!G52*'INSUMOS - QUANTIDADES'!F52)+('INSUMOS - QUANTIDADES'!G64*'INSUMOS - QUANTIDADES'!F64)+('INSUMOS - QUANTIDADES'!G76*'INSUMOS - QUANTIDADES'!F76)+('INSUMOS - QUANTIDADES'!G88*'INSUMOS - QUANTIDADES'!F88)</f>
        <v>0</v>
      </c>
      <c r="J45" s="61" t="s">
        <v>178</v>
      </c>
      <c r="K45" s="10">
        <f>$I$45*('INSUMOS - PREÇOS'!F62/1000)*$N$11</f>
        <v>0</v>
      </c>
    </row>
    <row r="46" spans="2:11" ht="18.95" customHeight="1">
      <c r="B46" s="8"/>
      <c r="C46" s="55"/>
      <c r="D46" s="55"/>
      <c r="E46" s="55"/>
      <c r="F46" s="262"/>
      <c r="G46" s="262" t="s">
        <v>214</v>
      </c>
      <c r="H46" s="243" t="str">
        <f>'INSUMOS - QUANTIDADES'!C14</f>
        <v>Volumoso 2</v>
      </c>
      <c r="I46" s="56">
        <f>('INSUMOS - QUANTIDADES'!G53*'INSUMOS - QUANTIDADES'!F53)+('INSUMOS - QUANTIDADES'!G65*'INSUMOS - QUANTIDADES'!F65)+('INSUMOS - QUANTIDADES'!G77*'INSUMOS - QUANTIDADES'!F77)+('INSUMOS - QUANTIDADES'!G89*'INSUMOS - QUANTIDADES'!F89)</f>
        <v>276.60000000000002</v>
      </c>
      <c r="J46" s="61" t="s">
        <v>178</v>
      </c>
      <c r="K46" s="10">
        <f>$I$46*('INSUMOS - PREÇOS'!F62/1000)*$N$11</f>
        <v>5202.5694000000012</v>
      </c>
    </row>
    <row r="47" spans="2:11" ht="18.95" customHeight="1">
      <c r="B47" s="8"/>
      <c r="C47" s="55"/>
      <c r="D47" s="55"/>
      <c r="E47" s="55"/>
      <c r="F47" s="262"/>
      <c r="G47" s="48" t="s">
        <v>215</v>
      </c>
      <c r="H47" s="243" t="str">
        <f>'INSUMOS - QUANTIDADES'!C15</f>
        <v>Volumoso 3</v>
      </c>
      <c r="I47" s="56">
        <f>('INSUMOS - QUANTIDADES'!G54*'INSUMOS - QUANTIDADES'!F54)+('INSUMOS - QUANTIDADES'!G66*'INSUMOS - QUANTIDADES'!F66)+('INSUMOS - QUANTIDADES'!G78*'INSUMOS - QUANTIDADES'!F78)+('INSUMOS - QUANTIDADES'!G90*'INSUMOS - QUANTIDADES'!F90)</f>
        <v>0</v>
      </c>
      <c r="J47" s="61" t="s">
        <v>178</v>
      </c>
      <c r="K47" s="10">
        <f>$I$47*('INSUMOS - PREÇOS'!F63/1000)*$N$11</f>
        <v>0</v>
      </c>
    </row>
    <row r="48" spans="2:11" ht="18.95" customHeight="1">
      <c r="B48" s="8"/>
      <c r="C48" s="55"/>
      <c r="D48" s="55"/>
      <c r="E48" s="55"/>
      <c r="F48" s="262"/>
      <c r="G48" s="48" t="s">
        <v>216</v>
      </c>
      <c r="H48" s="243" t="str">
        <f>'INSUMOS - QUANTIDADES'!C16</f>
        <v>Volumoso 4</v>
      </c>
      <c r="I48" s="56">
        <f>('INSUMOS - QUANTIDADES'!G55*'INSUMOS - QUANTIDADES'!F55)+('INSUMOS - QUANTIDADES'!G67*'INSUMOS - QUANTIDADES'!F67)+('INSUMOS - QUANTIDADES'!G79*'INSUMOS - QUANTIDADES'!F79)+('INSUMOS - QUANTIDADES'!G91*'INSUMOS - QUANTIDADES'!F91)</f>
        <v>0</v>
      </c>
      <c r="J48" s="61" t="s">
        <v>178</v>
      </c>
      <c r="K48" s="10">
        <f>$I$48*('INSUMOS - PREÇOS'!F64/1000)*$N$11</f>
        <v>0</v>
      </c>
    </row>
    <row r="49" spans="2:14" ht="18.95" customHeight="1">
      <c r="B49" s="8"/>
      <c r="C49" s="55"/>
      <c r="D49" s="55"/>
      <c r="E49" s="55"/>
      <c r="F49" s="262"/>
      <c r="G49" s="262" t="s">
        <v>495</v>
      </c>
      <c r="H49" s="243" t="str">
        <f>'INSUMOS - QUANTIDADES'!C17</f>
        <v>Volumoso 5</v>
      </c>
      <c r="I49" s="56">
        <f>('INSUMOS - QUANTIDADES'!G56*'INSUMOS - QUANTIDADES'!F56)+('INSUMOS - QUANTIDADES'!G68*'INSUMOS - QUANTIDADES'!F68)+('INSUMOS - QUANTIDADES'!G80*'INSUMOS - QUANTIDADES'!F80)+('INSUMOS - QUANTIDADES'!G92*'INSUMOS - QUANTIDADES'!F92)</f>
        <v>0</v>
      </c>
      <c r="J49" s="61" t="s">
        <v>178</v>
      </c>
      <c r="K49" s="10">
        <f>$I$49*('INSUMOS - PREÇOS'!F66/1000)*$N$11</f>
        <v>0</v>
      </c>
      <c r="M49" s="71"/>
      <c r="N49" s="72"/>
    </row>
    <row r="50" spans="2:14" ht="18.95" customHeight="1">
      <c r="B50" s="8"/>
      <c r="C50" s="55"/>
      <c r="D50" s="55"/>
      <c r="E50" s="55"/>
      <c r="F50" s="262"/>
      <c r="G50" s="262" t="s">
        <v>496</v>
      </c>
      <c r="H50" s="243" t="str">
        <f>'INSUMOS - QUANTIDADES'!C18</f>
        <v>Volumoso 6</v>
      </c>
      <c r="I50" s="56">
        <f>('INSUMOS - QUANTIDADES'!G57*'INSUMOS - QUANTIDADES'!F57)+('INSUMOS - QUANTIDADES'!G69*'INSUMOS - QUANTIDADES'!F69)+('INSUMOS - QUANTIDADES'!G81*'INSUMOS - QUANTIDADES'!F81)+('INSUMOS - QUANTIDADES'!G93*'INSUMOS - QUANTIDADES'!F93)</f>
        <v>0</v>
      </c>
      <c r="J50" s="61" t="s">
        <v>178</v>
      </c>
      <c r="K50" s="10">
        <f>$I$50*('INSUMOS - PREÇOS'!F66/1000)*$N$11</f>
        <v>0</v>
      </c>
      <c r="M50" s="71"/>
      <c r="N50" s="72"/>
    </row>
    <row r="51" spans="2:14" ht="18.95" customHeight="1">
      <c r="B51" s="8"/>
      <c r="C51" s="55"/>
      <c r="D51" s="55"/>
      <c r="E51" s="55"/>
      <c r="F51" s="262"/>
      <c r="G51" s="262" t="s">
        <v>497</v>
      </c>
      <c r="H51" s="243" t="str">
        <f>'INSUMOS - QUANTIDADES'!C19</f>
        <v>Volumoso 7</v>
      </c>
      <c r="I51" s="56">
        <f>('INSUMOS - QUANTIDADES'!G58*'INSUMOS - QUANTIDADES'!F58)+('INSUMOS - QUANTIDADES'!G70*'INSUMOS - QUANTIDADES'!F70)+('INSUMOS - QUANTIDADES'!G82*'INSUMOS - QUANTIDADES'!F82)+('INSUMOS - QUANTIDADES'!G94*'INSUMOS - QUANTIDADES'!F94)</f>
        <v>0</v>
      </c>
      <c r="J51" s="61" t="s">
        <v>178</v>
      </c>
      <c r="K51" s="10">
        <f>$I$51*('INSUMOS - PREÇOS'!F67/1000)*$N$11</f>
        <v>0</v>
      </c>
      <c r="M51" s="71"/>
      <c r="N51" s="72"/>
    </row>
    <row r="52" spans="2:14" ht="18.95" customHeight="1">
      <c r="B52" s="8"/>
      <c r="C52" s="55"/>
      <c r="D52" s="55"/>
      <c r="E52" s="55"/>
      <c r="F52" s="262"/>
      <c r="G52" s="262" t="s">
        <v>498</v>
      </c>
      <c r="H52" s="243" t="str">
        <f>'INSUMOS - QUANTIDADES'!C20</f>
        <v>Volumoso 8</v>
      </c>
      <c r="I52" s="56">
        <f>('INSUMOS - QUANTIDADES'!G59*'INSUMOS - QUANTIDADES'!F59)+('INSUMOS - QUANTIDADES'!G71*'INSUMOS - QUANTIDADES'!F71)+('INSUMOS - QUANTIDADES'!G83*'INSUMOS - QUANTIDADES'!F83)+('INSUMOS - QUANTIDADES'!G95*'INSUMOS - QUANTIDADES'!F95)</f>
        <v>0</v>
      </c>
      <c r="J52" s="61" t="s">
        <v>178</v>
      </c>
      <c r="K52" s="10">
        <f>$I$52*('INSUMOS - PREÇOS'!F68/1000)*$N$11</f>
        <v>0</v>
      </c>
      <c r="M52" s="71"/>
      <c r="N52" s="72"/>
    </row>
    <row r="53" spans="2:14" ht="18.95" customHeight="1">
      <c r="B53" s="8"/>
      <c r="C53" s="55"/>
      <c r="D53" s="55"/>
      <c r="E53" s="55"/>
      <c r="F53" s="262"/>
      <c r="G53" s="262" t="s">
        <v>499</v>
      </c>
      <c r="H53" s="243" t="str">
        <f>'INSUMOS - QUANTIDADES'!C21</f>
        <v>Volumoso 9</v>
      </c>
      <c r="I53" s="56">
        <f>('INSUMOS - QUANTIDADES'!G60*'INSUMOS - QUANTIDADES'!F60)+('INSUMOS - QUANTIDADES'!G72*'INSUMOS - QUANTIDADES'!F72)+('INSUMOS - QUANTIDADES'!G84*'INSUMOS - QUANTIDADES'!F84)+('INSUMOS - QUANTIDADES'!G96*'INSUMOS - QUANTIDADES'!F96)</f>
        <v>0</v>
      </c>
      <c r="J53" s="61" t="s">
        <v>178</v>
      </c>
      <c r="K53" s="10">
        <f>$I$53*('INSUMOS - PREÇOS'!F70/1000)*$N$11</f>
        <v>0</v>
      </c>
      <c r="M53" s="71"/>
      <c r="N53" s="72"/>
    </row>
    <row r="54" spans="2:14" ht="18.95" customHeight="1">
      <c r="B54" s="8"/>
      <c r="C54" s="55"/>
      <c r="D54" s="55"/>
      <c r="E54" s="55"/>
      <c r="F54" s="262" t="s">
        <v>217</v>
      </c>
      <c r="G54" s="277" t="s">
        <v>22</v>
      </c>
      <c r="H54" s="335"/>
      <c r="I54" s="56">
        <f>('INSUMOS - QUANTIDADES'!G61*'INSUMOS - QUANTIDADES'!F61)+('INSUMOS - QUANTIDADES'!G73*'INSUMOS - QUANTIDADES'!F73)+('INSUMOS - QUANTIDADES'!G85*'INSUMOS - QUANTIDADES'!F85)+('INSUMOS - QUANTIDADES'!G97*'INSUMOS - QUANTIDADES'!F97)</f>
        <v>32.4</v>
      </c>
      <c r="J54" s="61" t="s">
        <v>178</v>
      </c>
      <c r="K54" s="10">
        <f>($I$54*'INSUMOS - PREÇOS'!F75)*'CUSTOS ANUAIS'!$N$11</f>
        <v>9245.5020000000022</v>
      </c>
      <c r="M54" s="71"/>
      <c r="N54" s="72"/>
    </row>
    <row r="55" spans="2:14" ht="18.95" customHeight="1">
      <c r="B55" s="8"/>
      <c r="C55" s="55"/>
      <c r="D55" s="55"/>
      <c r="E55" s="55" t="s">
        <v>246</v>
      </c>
      <c r="F55" s="277" t="s">
        <v>26</v>
      </c>
      <c r="G55" s="277"/>
      <c r="H55" s="277"/>
      <c r="I55" s="56"/>
      <c r="J55" s="61"/>
      <c r="K55" s="10"/>
      <c r="M55" s="71"/>
      <c r="N55" s="72"/>
    </row>
    <row r="56" spans="2:14" ht="18.95" customHeight="1">
      <c r="B56" s="8"/>
      <c r="C56" s="55"/>
      <c r="D56" s="55"/>
      <c r="E56" s="55"/>
      <c r="F56" s="262" t="s">
        <v>500</v>
      </c>
      <c r="G56" s="277" t="s">
        <v>10</v>
      </c>
      <c r="H56" s="335"/>
      <c r="I56" s="57">
        <f>('INSUMOS - QUANTIDADES'!G99*'INSUMOS - QUANTIDADES'!F99)+('INSUMOS - QUANTIDADES'!G111*'INSUMOS - QUANTIDADES'!F111)</f>
        <v>9.120000000000001</v>
      </c>
      <c r="J56" s="61" t="s">
        <v>178</v>
      </c>
      <c r="K56" s="10">
        <f>($I$56*'INSUMOS - PREÇOS'!F70*$N$12)</f>
        <v>89.193600000000004</v>
      </c>
    </row>
    <row r="57" spans="2:14" ht="18.95" customHeight="1">
      <c r="B57" s="8"/>
      <c r="C57" s="55"/>
      <c r="D57" s="55"/>
      <c r="E57" s="55"/>
      <c r="F57" s="262" t="s">
        <v>501</v>
      </c>
      <c r="G57" s="277" t="s">
        <v>142</v>
      </c>
      <c r="H57" s="335"/>
      <c r="I57" s="56"/>
      <c r="J57" s="61"/>
      <c r="K57" s="10"/>
    </row>
    <row r="58" spans="2:14" ht="18.95" customHeight="1">
      <c r="B58" s="8"/>
      <c r="C58" s="55"/>
      <c r="D58" s="55"/>
      <c r="E58" s="55"/>
      <c r="F58" s="262"/>
      <c r="G58" s="262" t="s">
        <v>502</v>
      </c>
      <c r="H58" s="243" t="str">
        <f>'INSUMOS - QUANTIDADES'!C12</f>
        <v>Pastagem</v>
      </c>
      <c r="I58" s="56">
        <f>('INSUMOS - QUANTIDADES'!G100*'INSUMOS - QUANTIDADES'!F100)+('INSUMOS - QUANTIDADES'!G112*'INSUMOS - QUANTIDADES'!F112)</f>
        <v>1368</v>
      </c>
      <c r="J58" s="61" t="s">
        <v>178</v>
      </c>
      <c r="K58" s="10">
        <f>((('INSUMOS - PREÇOS'!F104*$I$209)/(($I$15*$N$13)+($I$44*$N$11)+($I$58*$N$12))))*($I$58*$N$12)</f>
        <v>645.19345430978615</v>
      </c>
    </row>
    <row r="59" spans="2:14" ht="18.95" customHeight="1">
      <c r="B59" s="8"/>
      <c r="C59" s="55"/>
      <c r="D59" s="55"/>
      <c r="E59" s="55"/>
      <c r="F59" s="262"/>
      <c r="G59" s="262" t="s">
        <v>503</v>
      </c>
      <c r="H59" s="243" t="str">
        <f>'INSUMOS - QUANTIDADES'!C13</f>
        <v>Volumoso 1</v>
      </c>
      <c r="I59" s="56">
        <f>('INSUMOS - QUANTIDADES'!G101*'INSUMOS - QUANTIDADES'!F101)+('INSUMOS - QUANTIDADES'!G113*'INSUMOS - QUANTIDADES'!F113)</f>
        <v>0</v>
      </c>
      <c r="J59" s="61" t="s">
        <v>178</v>
      </c>
      <c r="K59" s="10">
        <f>$I$59*('INSUMOS - PREÇOS'!F61/1000)*$N$12</f>
        <v>0</v>
      </c>
    </row>
    <row r="60" spans="2:14" ht="18.95" customHeight="1">
      <c r="B60" s="8"/>
      <c r="C60" s="55"/>
      <c r="D60" s="55"/>
      <c r="E60" s="55"/>
      <c r="F60" s="262"/>
      <c r="G60" s="262" t="s">
        <v>504</v>
      </c>
      <c r="H60" s="243" t="str">
        <f>'INSUMOS - QUANTIDADES'!C14</f>
        <v>Volumoso 2</v>
      </c>
      <c r="I60" s="56">
        <f>('INSUMOS - QUANTIDADES'!G102*'INSUMOS - QUANTIDADES'!F102)+('INSUMOS - QUANTIDADES'!G114*'INSUMOS - QUANTIDADES'!F114)</f>
        <v>450</v>
      </c>
      <c r="J60" s="61" t="s">
        <v>178</v>
      </c>
      <c r="K60" s="10">
        <f>$I$60*('INSUMOS - PREÇOS'!F62/1000)*$N$12</f>
        <v>145.09800000000001</v>
      </c>
    </row>
    <row r="61" spans="2:14" ht="18.95" customHeight="1">
      <c r="B61" s="8"/>
      <c r="C61" s="55"/>
      <c r="D61" s="55"/>
      <c r="E61" s="55"/>
      <c r="F61" s="262"/>
      <c r="G61" s="262" t="s">
        <v>505</v>
      </c>
      <c r="H61" s="243" t="str">
        <f>'INSUMOS - QUANTIDADES'!C15</f>
        <v>Volumoso 3</v>
      </c>
      <c r="I61" s="56">
        <f>('INSUMOS - QUANTIDADES'!G103*'INSUMOS - QUANTIDADES'!F103)+('INSUMOS - QUANTIDADES'!G115*'INSUMOS - QUANTIDADES'!F115)</f>
        <v>0</v>
      </c>
      <c r="J61" s="61" t="s">
        <v>178</v>
      </c>
      <c r="K61" s="10">
        <f>(($I$61)*('INSUMOS - PREÇOS'!F63/1000))*$N$12</f>
        <v>0</v>
      </c>
    </row>
    <row r="62" spans="2:14" ht="18.95" customHeight="1">
      <c r="B62" s="8"/>
      <c r="C62" s="55"/>
      <c r="D62" s="55"/>
      <c r="E62" s="55"/>
      <c r="F62" s="262"/>
      <c r="G62" s="262" t="s">
        <v>506</v>
      </c>
      <c r="H62" s="243" t="str">
        <f>'INSUMOS - QUANTIDADES'!C16</f>
        <v>Volumoso 4</v>
      </c>
      <c r="I62" s="56">
        <f>('INSUMOS - QUANTIDADES'!G104*'INSUMOS - QUANTIDADES'!F104)+('INSUMOS - QUANTIDADES'!G116*'INSUMOS - QUANTIDADES'!F116)</f>
        <v>0</v>
      </c>
      <c r="J62" s="61" t="s">
        <v>178</v>
      </c>
      <c r="K62" s="10">
        <f>$I$62*('INSUMOS - PREÇOS'!F64/1000)*$N$12</f>
        <v>0</v>
      </c>
    </row>
    <row r="63" spans="2:14" ht="18.95" customHeight="1">
      <c r="B63" s="8"/>
      <c r="C63" s="55"/>
      <c r="D63" s="55"/>
      <c r="E63" s="55"/>
      <c r="F63" s="262"/>
      <c r="G63" s="262" t="s">
        <v>507</v>
      </c>
      <c r="H63" s="243" t="str">
        <f>'INSUMOS - QUANTIDADES'!C17</f>
        <v>Volumoso 5</v>
      </c>
      <c r="I63" s="56">
        <f>('INSUMOS - QUANTIDADES'!G105*'INSUMOS - QUANTIDADES'!F105)+('INSUMOS - QUANTIDADES'!G117*'INSUMOS - QUANTIDADES'!F117)</f>
        <v>0</v>
      </c>
      <c r="J63" s="61" t="s">
        <v>178</v>
      </c>
      <c r="K63" s="10">
        <f>$I$63*('INSUMOS - PREÇOS'!F65/1000)*$N$12</f>
        <v>0</v>
      </c>
      <c r="M63" s="47"/>
      <c r="N63" s="47"/>
    </row>
    <row r="64" spans="2:14" ht="18.95" customHeight="1">
      <c r="B64" s="8"/>
      <c r="C64" s="55"/>
      <c r="D64" s="55"/>
      <c r="E64" s="55"/>
      <c r="F64" s="262"/>
      <c r="G64" s="262" t="s">
        <v>508</v>
      </c>
      <c r="H64" s="243" t="str">
        <f>'INSUMOS - QUANTIDADES'!C18</f>
        <v>Volumoso 6</v>
      </c>
      <c r="I64" s="56">
        <f>('INSUMOS - QUANTIDADES'!G106*'INSUMOS - QUANTIDADES'!F106)+('INSUMOS - QUANTIDADES'!G118*'INSUMOS - QUANTIDADES'!F118)</f>
        <v>0</v>
      </c>
      <c r="J64" s="61" t="s">
        <v>178</v>
      </c>
      <c r="K64" s="10">
        <f>$I$64*('INSUMOS - PREÇOS'!F66/1000)*$N$12</f>
        <v>0</v>
      </c>
      <c r="M64" s="47"/>
      <c r="N64" s="47"/>
    </row>
    <row r="65" spans="2:14" ht="18.95" customHeight="1">
      <c r="B65" s="8"/>
      <c r="C65" s="55"/>
      <c r="D65" s="55"/>
      <c r="E65" s="55"/>
      <c r="F65" s="262"/>
      <c r="G65" s="262" t="s">
        <v>509</v>
      </c>
      <c r="H65" s="243" t="str">
        <f>'INSUMOS - QUANTIDADES'!C19</f>
        <v>Volumoso 7</v>
      </c>
      <c r="I65" s="56">
        <f>('INSUMOS - QUANTIDADES'!G107*'INSUMOS - QUANTIDADES'!F107)+('INSUMOS - QUANTIDADES'!G119*'INSUMOS - QUANTIDADES'!F119)</f>
        <v>0</v>
      </c>
      <c r="J65" s="61" t="s">
        <v>178</v>
      </c>
      <c r="K65" s="10">
        <f>(($I$65)*('INSUMOS - PREÇOS'!F67/1000))*$N$12</f>
        <v>0</v>
      </c>
      <c r="M65" s="47"/>
      <c r="N65" s="47"/>
    </row>
    <row r="66" spans="2:14" ht="18.95" customHeight="1">
      <c r="B66" s="8"/>
      <c r="C66" s="55"/>
      <c r="D66" s="55"/>
      <c r="E66" s="55"/>
      <c r="F66" s="262"/>
      <c r="G66" s="262" t="s">
        <v>510</v>
      </c>
      <c r="H66" s="243" t="str">
        <f>'INSUMOS - QUANTIDADES'!C20</f>
        <v>Volumoso 8</v>
      </c>
      <c r="I66" s="56">
        <f>('INSUMOS - QUANTIDADES'!G108*'INSUMOS - QUANTIDADES'!F108)+('INSUMOS - QUANTIDADES'!G120*'INSUMOS - QUANTIDADES'!F120)</f>
        <v>0</v>
      </c>
      <c r="J66" s="61" t="s">
        <v>178</v>
      </c>
      <c r="K66" s="10">
        <f>$I$66*('INSUMOS - PREÇOS'!F68/1000)*$N$12</f>
        <v>0</v>
      </c>
      <c r="M66" s="47"/>
      <c r="N66" s="47"/>
    </row>
    <row r="67" spans="2:14" ht="18.95" customHeight="1">
      <c r="B67" s="8"/>
      <c r="C67" s="55"/>
      <c r="D67" s="55"/>
      <c r="E67" s="55"/>
      <c r="F67" s="262"/>
      <c r="G67" s="262" t="s">
        <v>511</v>
      </c>
      <c r="H67" s="243" t="str">
        <f>'INSUMOS - QUANTIDADES'!C21</f>
        <v>Volumoso 9</v>
      </c>
      <c r="I67" s="56">
        <f>('INSUMOS - QUANTIDADES'!G109*'INSUMOS - QUANTIDADES'!F109)+('INSUMOS - QUANTIDADES'!G121*'INSUMOS - QUANTIDADES'!F121)</f>
        <v>0</v>
      </c>
      <c r="J67" s="61" t="s">
        <v>178</v>
      </c>
      <c r="K67" s="10">
        <f>$I$67*('INSUMOS - PREÇOS'!F69/1000)*$N$12</f>
        <v>0</v>
      </c>
    </row>
    <row r="68" spans="2:14" ht="18.95" customHeight="1">
      <c r="B68" s="8"/>
      <c r="C68" s="55"/>
      <c r="D68" s="55"/>
      <c r="E68" s="55"/>
      <c r="F68" s="262" t="s">
        <v>512</v>
      </c>
      <c r="G68" s="277" t="s">
        <v>22</v>
      </c>
      <c r="H68" s="335"/>
      <c r="I68" s="56">
        <f>('INSUMOS - QUANTIDADES'!G110*'INSUMOS - QUANTIDADES'!F110)+('INSUMOS - QUANTIDADES'!G122*'INSUMOS - QUANTIDADES'!F122)</f>
        <v>0</v>
      </c>
      <c r="J68" s="61" t="s">
        <v>178</v>
      </c>
      <c r="K68" s="10">
        <f>($I$68*'INSUMOS - PREÇOS'!F75)*$N$12</f>
        <v>0</v>
      </c>
    </row>
    <row r="69" spans="2:14" ht="18.95" customHeight="1">
      <c r="B69" s="8"/>
      <c r="C69" s="55"/>
      <c r="D69" s="55"/>
      <c r="E69" s="55"/>
      <c r="F69" s="329" t="s">
        <v>218</v>
      </c>
      <c r="G69" s="329"/>
      <c r="H69" s="330"/>
      <c r="I69" s="56"/>
      <c r="J69" s="61"/>
      <c r="K69" s="60">
        <f>SUM(K13:K68)</f>
        <v>74862.881913600009</v>
      </c>
    </row>
    <row r="70" spans="2:14" ht="18.95" customHeight="1">
      <c r="B70" s="8"/>
      <c r="C70" s="55"/>
      <c r="D70" s="55"/>
      <c r="E70" s="55"/>
      <c r="F70" s="262"/>
      <c r="G70" s="262"/>
      <c r="H70" s="262"/>
      <c r="I70" s="56"/>
      <c r="J70" s="61"/>
      <c r="K70" s="10"/>
    </row>
    <row r="71" spans="2:14" ht="18.95" customHeight="1">
      <c r="B71" s="8"/>
      <c r="C71" s="55"/>
      <c r="D71" s="55" t="s">
        <v>219</v>
      </c>
      <c r="E71" s="353" t="s">
        <v>220</v>
      </c>
      <c r="F71" s="353"/>
      <c r="G71" s="353"/>
      <c r="H71" s="353"/>
      <c r="I71" s="56"/>
      <c r="J71" s="61"/>
      <c r="K71" s="10"/>
    </row>
    <row r="72" spans="2:14" ht="18.95" customHeight="1">
      <c r="B72" s="8"/>
      <c r="C72" s="55"/>
      <c r="D72" s="55"/>
      <c r="E72" s="55" t="s">
        <v>221</v>
      </c>
      <c r="F72" s="277" t="s">
        <v>8</v>
      </c>
      <c r="G72" s="277"/>
      <c r="H72" s="277"/>
      <c r="I72" s="56"/>
      <c r="J72" s="61"/>
      <c r="K72" s="10"/>
    </row>
    <row r="73" spans="2:14" ht="18.95" customHeight="1">
      <c r="B73" s="8"/>
      <c r="C73" s="55"/>
      <c r="D73" s="55"/>
      <c r="E73" s="55"/>
      <c r="F73" s="262" t="s">
        <v>370</v>
      </c>
      <c r="G73" s="277" t="str">
        <f>'INSUMOS - PREÇOS'!$C$82</f>
        <v>Anti helmíntico Tipo 1</v>
      </c>
      <c r="H73" s="335"/>
      <c r="I73" s="57">
        <f>('INSUMOS - QUANTIDADES'!G157)</f>
        <v>2.4</v>
      </c>
      <c r="J73" s="61" t="s">
        <v>43</v>
      </c>
      <c r="K73" s="10">
        <f>($I$73*'INSUMOS - PREÇOS'!F82)*$N$13</f>
        <v>65.507823359999989</v>
      </c>
    </row>
    <row r="74" spans="2:14" ht="18.95" customHeight="1">
      <c r="B74" s="8"/>
      <c r="C74" s="55"/>
      <c r="D74" s="55"/>
      <c r="E74" s="55"/>
      <c r="F74" s="262" t="s">
        <v>371</v>
      </c>
      <c r="G74" s="277" t="str">
        <f>'INSUMOS - PREÇOS'!$C$83</f>
        <v>Anti helmíntico Tipo 2</v>
      </c>
      <c r="H74" s="335"/>
      <c r="I74" s="57">
        <f>('INSUMOS - QUANTIDADES'!G162)</f>
        <v>2.4</v>
      </c>
      <c r="J74" s="61" t="s">
        <v>43</v>
      </c>
      <c r="K74" s="10">
        <f>($I$74*'INSUMOS - PREÇOS'!F83)*$N$13</f>
        <v>0</v>
      </c>
    </row>
    <row r="75" spans="2:14" ht="18.95" customHeight="1">
      <c r="B75" s="8"/>
      <c r="C75" s="55"/>
      <c r="D75" s="55"/>
      <c r="E75" s="55"/>
      <c r="F75" s="262" t="s">
        <v>372</v>
      </c>
      <c r="G75" s="277" t="str">
        <f>'INSUMOS - PREÇOS'!$C$84</f>
        <v>Anti helmíntico Tipo 3</v>
      </c>
      <c r="H75" s="335"/>
      <c r="I75" s="57">
        <f>('INSUMOS - QUANTIDADES'!G167)</f>
        <v>2.4</v>
      </c>
      <c r="J75" s="61" t="s">
        <v>43</v>
      </c>
      <c r="K75" s="10">
        <f>($I$75*'INSUMOS - PREÇOS'!F84)*$N$13</f>
        <v>0</v>
      </c>
    </row>
    <row r="76" spans="2:14" ht="18.95" customHeight="1">
      <c r="B76" s="8"/>
      <c r="C76" s="55"/>
      <c r="D76" s="55"/>
      <c r="E76" s="55"/>
      <c r="F76" s="262" t="s">
        <v>373</v>
      </c>
      <c r="G76" s="277" t="str">
        <f>'INSUMOS - PREÇOS'!$C$77</f>
        <v>Vacina contra Clostridioses</v>
      </c>
      <c r="H76" s="335"/>
      <c r="I76" s="57">
        <f>'INSUMOS - QUANTIDADES'!G132</f>
        <v>2.4</v>
      </c>
      <c r="J76" s="61" t="s">
        <v>224</v>
      </c>
      <c r="K76" s="10">
        <f>$I$76*'INSUMOS - PREÇOS'!F77*$N$13</f>
        <v>925.88831999999979</v>
      </c>
    </row>
    <row r="77" spans="2:14" ht="18.95" customHeight="1">
      <c r="B77" s="8"/>
      <c r="C77" s="55"/>
      <c r="D77" s="55"/>
      <c r="E77" s="55"/>
      <c r="F77" s="262" t="s">
        <v>374</v>
      </c>
      <c r="G77" s="277" t="str">
        <f>'INSUMOS - PREÇOS'!$C$78</f>
        <v>Vacina contra Pasteurelose</v>
      </c>
      <c r="H77" s="335"/>
      <c r="I77" s="57">
        <f>'INSUMOS - QUANTIDADES'!G137</f>
        <v>0</v>
      </c>
      <c r="J77" s="61" t="s">
        <v>224</v>
      </c>
      <c r="K77" s="10">
        <f>$I$77*'INSUMOS - PREÇOS'!F78*$N$13</f>
        <v>0</v>
      </c>
      <c r="M77" s="47"/>
      <c r="N77" s="47"/>
    </row>
    <row r="78" spans="2:14" ht="18.95" customHeight="1">
      <c r="B78" s="8"/>
      <c r="C78" s="55"/>
      <c r="D78" s="55"/>
      <c r="E78" s="55"/>
      <c r="F78" s="262" t="s">
        <v>375</v>
      </c>
      <c r="G78" s="277" t="str">
        <f>'INSUMOS - PREÇOS'!$C$79</f>
        <v>Vacina contra Linfadenite</v>
      </c>
      <c r="H78" s="335"/>
      <c r="I78" s="57">
        <f>'INSUMOS - QUANTIDADES'!G142</f>
        <v>2.4</v>
      </c>
      <c r="J78" s="61" t="s">
        <v>224</v>
      </c>
      <c r="K78" s="10">
        <f>$I$78*'INSUMOS - PREÇOS'!F79*$N$13</f>
        <v>0</v>
      </c>
    </row>
    <row r="79" spans="2:14" ht="18.95" customHeight="1">
      <c r="B79" s="8"/>
      <c r="C79" s="55"/>
      <c r="D79" s="55"/>
      <c r="E79" s="55"/>
      <c r="F79" s="262" t="s">
        <v>376</v>
      </c>
      <c r="G79" s="277" t="str">
        <f>'INSUMOS - PREÇOS'!$C$80</f>
        <v>Vacina contra Foot Rot</v>
      </c>
      <c r="H79" s="335"/>
      <c r="I79" s="57">
        <f>'INSUMOS - QUANTIDADES'!G147</f>
        <v>0</v>
      </c>
      <c r="J79" s="61" t="s">
        <v>224</v>
      </c>
      <c r="K79" s="10">
        <f>$I$79*'INSUMOS - PREÇOS'!F80*$N$13</f>
        <v>0</v>
      </c>
    </row>
    <row r="80" spans="2:14" ht="18.95" customHeight="1">
      <c r="B80" s="8"/>
      <c r="C80" s="55"/>
      <c r="D80" s="55"/>
      <c r="E80" s="55"/>
      <c r="F80" s="262" t="s">
        <v>377</v>
      </c>
      <c r="G80" s="277" t="str">
        <f>'INSUMOS - PREÇOS'!$C$81</f>
        <v>Vacina contra outra coisa</v>
      </c>
      <c r="H80" s="335"/>
      <c r="I80" s="57">
        <f>'INSUMOS - QUANTIDADES'!G152</f>
        <v>1.2</v>
      </c>
      <c r="J80" s="61" t="s">
        <v>224</v>
      </c>
      <c r="K80" s="10">
        <f>$I$80*'INSUMOS - PREÇOS'!F81*$N$13</f>
        <v>0</v>
      </c>
    </row>
    <row r="81" spans="2:11" ht="18.95" customHeight="1">
      <c r="B81" s="8"/>
      <c r="C81" s="55"/>
      <c r="D81" s="55"/>
      <c r="E81" s="55"/>
      <c r="F81" s="262" t="s">
        <v>378</v>
      </c>
      <c r="G81" s="282" t="str">
        <f>'INSUMOS - PREÇOS'!C85</f>
        <v>Outro medicamento</v>
      </c>
      <c r="H81" s="336"/>
      <c r="I81" s="57">
        <f>'INSUMOS - QUANTIDADES'!G172</f>
        <v>0</v>
      </c>
      <c r="J81" s="61" t="s">
        <v>43</v>
      </c>
      <c r="K81" s="10">
        <f>($I$81*'INSUMOS - PREÇOS'!F85)*$N$13</f>
        <v>0</v>
      </c>
    </row>
    <row r="82" spans="2:11" ht="18.95" customHeight="1">
      <c r="B82" s="8"/>
      <c r="C82" s="55"/>
      <c r="D82" s="55"/>
      <c r="E82" s="55" t="s">
        <v>227</v>
      </c>
      <c r="F82" s="277" t="s">
        <v>490</v>
      </c>
      <c r="G82" s="277"/>
      <c r="H82" s="277"/>
      <c r="I82" s="57"/>
      <c r="J82" s="61"/>
      <c r="K82" s="10"/>
    </row>
    <row r="83" spans="2:11" ht="18.95" customHeight="1">
      <c r="B83" s="8"/>
      <c r="C83" s="55"/>
      <c r="D83" s="55"/>
      <c r="E83" s="55"/>
      <c r="F83" s="262" t="s">
        <v>379</v>
      </c>
      <c r="G83" s="277" t="str">
        <f>'INSUMOS - PREÇOS'!$C$82</f>
        <v>Anti helmíntico Tipo 1</v>
      </c>
      <c r="H83" s="335"/>
      <c r="I83" s="57">
        <f>'INSUMOS - QUANTIDADES'!G158</f>
        <v>1.2</v>
      </c>
      <c r="J83" s="61" t="s">
        <v>43</v>
      </c>
      <c r="K83" s="10">
        <f>($I$83*'INSUMOS - PREÇOS'!F82)*$N$14</f>
        <v>16.046399999999998</v>
      </c>
    </row>
    <row r="84" spans="2:11" ht="18.95" customHeight="1">
      <c r="B84" s="8"/>
      <c r="C84" s="55"/>
      <c r="D84" s="55"/>
      <c r="E84" s="55"/>
      <c r="F84" s="262" t="s">
        <v>380</v>
      </c>
      <c r="G84" s="277" t="str">
        <f>'INSUMOS - PREÇOS'!$C$83</f>
        <v>Anti helmíntico Tipo 2</v>
      </c>
      <c r="H84" s="335"/>
      <c r="I84" s="57">
        <f>'INSUMOS - QUANTIDADES'!G163</f>
        <v>1.2</v>
      </c>
      <c r="J84" s="61" t="s">
        <v>43</v>
      </c>
      <c r="K84" s="10">
        <f>($I$84*'INSUMOS - PREÇOS'!F83)*$N$14</f>
        <v>0</v>
      </c>
    </row>
    <row r="85" spans="2:11" ht="18.95" customHeight="1">
      <c r="B85" s="8"/>
      <c r="C85" s="55"/>
      <c r="D85" s="55"/>
      <c r="E85" s="55"/>
      <c r="F85" s="262" t="s">
        <v>381</v>
      </c>
      <c r="G85" s="277" t="str">
        <f>'INSUMOS - PREÇOS'!$C$84</f>
        <v>Anti helmíntico Tipo 3</v>
      </c>
      <c r="H85" s="335"/>
      <c r="I85" s="57">
        <f>'INSUMOS - QUANTIDADES'!G168</f>
        <v>1.2</v>
      </c>
      <c r="J85" s="61" t="s">
        <v>43</v>
      </c>
      <c r="K85" s="10">
        <f>($I$85*'INSUMOS - PREÇOS'!F84)*$N$14</f>
        <v>0</v>
      </c>
    </row>
    <row r="86" spans="2:11" ht="18.95" customHeight="1">
      <c r="B86" s="8"/>
      <c r="C86" s="55"/>
      <c r="D86" s="55"/>
      <c r="E86" s="55"/>
      <c r="F86" s="262" t="s">
        <v>382</v>
      </c>
      <c r="G86" s="277" t="str">
        <f>'INSUMOS - PREÇOS'!$C$77</f>
        <v>Vacina contra Clostridioses</v>
      </c>
      <c r="H86" s="335"/>
      <c r="I86" s="57">
        <f>'INSUMOS - QUANTIDADES'!G133</f>
        <v>1.2</v>
      </c>
      <c r="J86" s="61" t="s">
        <v>224</v>
      </c>
      <c r="K86" s="10">
        <f>($I$86*'INSUMOS - PREÇOS'!F77)*$N$14</f>
        <v>226.79999999999998</v>
      </c>
    </row>
    <row r="87" spans="2:11" ht="18.95" customHeight="1">
      <c r="B87" s="8"/>
      <c r="C87" s="55"/>
      <c r="D87" s="55"/>
      <c r="E87" s="55"/>
      <c r="F87" s="262" t="s">
        <v>383</v>
      </c>
      <c r="G87" s="277" t="str">
        <f>'INSUMOS - PREÇOS'!$C$78</f>
        <v>Vacina contra Pasteurelose</v>
      </c>
      <c r="H87" s="335"/>
      <c r="I87" s="57">
        <f>'INSUMOS - QUANTIDADES'!G138</f>
        <v>0</v>
      </c>
      <c r="J87" s="61" t="s">
        <v>224</v>
      </c>
      <c r="K87" s="10">
        <f>(I87*'INSUMOS - PREÇOS'!F78)*$N$14</f>
        <v>0</v>
      </c>
    </row>
    <row r="88" spans="2:11" ht="18.95" customHeight="1">
      <c r="B88" s="8"/>
      <c r="C88" s="55"/>
      <c r="D88" s="55"/>
      <c r="E88" s="55"/>
      <c r="F88" s="262" t="s">
        <v>384</v>
      </c>
      <c r="G88" s="277" t="str">
        <f>'INSUMOS - PREÇOS'!$C$79</f>
        <v>Vacina contra Linfadenite</v>
      </c>
      <c r="H88" s="335"/>
      <c r="I88" s="57">
        <f>'INSUMOS - QUANTIDADES'!G143</f>
        <v>0</v>
      </c>
      <c r="J88" s="61" t="s">
        <v>224</v>
      </c>
      <c r="K88" s="10">
        <f>($I$88*'INSUMOS - PREÇOS'!F79)*$N$14</f>
        <v>0</v>
      </c>
    </row>
    <row r="89" spans="2:11" ht="18.95" customHeight="1">
      <c r="B89" s="8"/>
      <c r="C89" s="55"/>
      <c r="D89" s="55"/>
      <c r="E89" s="55"/>
      <c r="F89" s="262" t="s">
        <v>385</v>
      </c>
      <c r="G89" s="277" t="str">
        <f>'INSUMOS - PREÇOS'!$C$80</f>
        <v>Vacina contra Foot Rot</v>
      </c>
      <c r="H89" s="335"/>
      <c r="I89" s="57">
        <f>'INSUMOS - QUANTIDADES'!G148</f>
        <v>0</v>
      </c>
      <c r="J89" s="61" t="s">
        <v>224</v>
      </c>
      <c r="K89" s="10">
        <f>($I$89*'INSUMOS - PREÇOS'!F80)*$N$14</f>
        <v>0</v>
      </c>
    </row>
    <row r="90" spans="2:11" ht="18.95" customHeight="1">
      <c r="B90" s="8"/>
      <c r="C90" s="55"/>
      <c r="D90" s="55"/>
      <c r="E90" s="55"/>
      <c r="F90" s="262" t="s">
        <v>386</v>
      </c>
      <c r="G90" s="277" t="str">
        <f>'INSUMOS - PREÇOS'!$C$81</f>
        <v>Vacina contra outra coisa</v>
      </c>
      <c r="H90" s="335"/>
      <c r="I90" s="57">
        <f>'INSUMOS - QUANTIDADES'!G153</f>
        <v>0</v>
      </c>
      <c r="J90" s="61" t="s">
        <v>224</v>
      </c>
      <c r="K90" s="10">
        <f>($I$90*'INSUMOS - PREÇOS'!F81)*$N$14</f>
        <v>0</v>
      </c>
    </row>
    <row r="91" spans="2:11" ht="18.95" customHeight="1">
      <c r="B91" s="8"/>
      <c r="C91" s="55"/>
      <c r="D91" s="55"/>
      <c r="E91" s="55"/>
      <c r="F91" s="262" t="s">
        <v>387</v>
      </c>
      <c r="G91" s="282" t="str">
        <f>'INSUMOS - PREÇOS'!$C$85</f>
        <v>Outro medicamento</v>
      </c>
      <c r="H91" s="336"/>
      <c r="I91" s="57">
        <f>'INSUMOS - QUANTIDADES'!G173</f>
        <v>1.2</v>
      </c>
      <c r="J91" s="61" t="s">
        <v>43</v>
      </c>
      <c r="K91" s="10">
        <f>($I$91*'INSUMOS - PREÇOS'!F85)*$N$14</f>
        <v>0</v>
      </c>
    </row>
    <row r="92" spans="2:11" ht="18.95" customHeight="1">
      <c r="B92" s="8"/>
      <c r="C92" s="55"/>
      <c r="D92" s="55"/>
      <c r="E92" s="55" t="s">
        <v>227</v>
      </c>
      <c r="F92" s="277" t="s">
        <v>198</v>
      </c>
      <c r="G92" s="277"/>
      <c r="H92" s="277"/>
      <c r="I92" s="56"/>
      <c r="J92" s="61"/>
      <c r="K92" s="10"/>
    </row>
    <row r="93" spans="2:11" ht="18.95" customHeight="1">
      <c r="B93" s="8"/>
      <c r="C93" s="55"/>
      <c r="D93" s="55"/>
      <c r="E93" s="55"/>
      <c r="F93" s="262" t="s">
        <v>379</v>
      </c>
      <c r="G93" s="277" t="str">
        <f>'INSUMOS - PREÇOS'!$C$82</f>
        <v>Anti helmíntico Tipo 1</v>
      </c>
      <c r="H93" s="335"/>
      <c r="I93" s="57">
        <f>'INSUMOS - QUANTIDADES'!G159</f>
        <v>7.1999999999999993</v>
      </c>
      <c r="J93" s="61" t="s">
        <v>43</v>
      </c>
      <c r="K93" s="10">
        <f>($I$93*'INSUMOS - PREÇOS'!F82)*$N$11</f>
        <v>168.4872</v>
      </c>
    </row>
    <row r="94" spans="2:11" ht="18.95" customHeight="1">
      <c r="B94" s="8"/>
      <c r="C94" s="55"/>
      <c r="D94" s="55"/>
      <c r="E94" s="55"/>
      <c r="F94" s="262" t="s">
        <v>380</v>
      </c>
      <c r="G94" s="277" t="str">
        <f>'INSUMOS - PREÇOS'!$C$83</f>
        <v>Anti helmíntico Tipo 2</v>
      </c>
      <c r="H94" s="335"/>
      <c r="I94" s="57">
        <f>('INSUMOS - QUANTIDADES'!G164)</f>
        <v>7.1999999999999993</v>
      </c>
      <c r="J94" s="61" t="s">
        <v>43</v>
      </c>
      <c r="K94" s="10">
        <f>($I$94*'INSUMOS - PREÇOS'!F83)*$N$11</f>
        <v>0</v>
      </c>
    </row>
    <row r="95" spans="2:11" ht="18.95" customHeight="1">
      <c r="B95" s="8"/>
      <c r="C95" s="55"/>
      <c r="D95" s="55"/>
      <c r="E95" s="55"/>
      <c r="F95" s="262" t="s">
        <v>381</v>
      </c>
      <c r="G95" s="277" t="str">
        <f>'INSUMOS - PREÇOS'!$C$84</f>
        <v>Anti helmíntico Tipo 3</v>
      </c>
      <c r="H95" s="335"/>
      <c r="I95" s="57">
        <f>('INSUMOS - QUANTIDADES'!G169)</f>
        <v>7.1999999999999993</v>
      </c>
      <c r="J95" s="61" t="s">
        <v>43</v>
      </c>
      <c r="K95" s="10">
        <f>($I$95*'INSUMOS - PREÇOS'!F84)*$N$11</f>
        <v>0</v>
      </c>
    </row>
    <row r="96" spans="2:11" ht="18.95" customHeight="1">
      <c r="B96" s="8"/>
      <c r="C96" s="55"/>
      <c r="D96" s="55"/>
      <c r="E96" s="55"/>
      <c r="F96" s="262" t="s">
        <v>382</v>
      </c>
      <c r="G96" s="277" t="str">
        <f>'INSUMOS - PREÇOS'!$C$77</f>
        <v>Vacina contra Clostridioses</v>
      </c>
      <c r="H96" s="335"/>
      <c r="I96" s="57">
        <f>'INSUMOS - QUANTIDADES'!G134</f>
        <v>1.2</v>
      </c>
      <c r="J96" s="61" t="s">
        <v>224</v>
      </c>
      <c r="K96" s="10">
        <f>($I$96*'INSUMOS - PREÇOS'!F77)*$N$11</f>
        <v>396.9</v>
      </c>
    </row>
    <row r="97" spans="2:14" ht="18.95" customHeight="1">
      <c r="B97" s="8"/>
      <c r="C97" s="55"/>
      <c r="D97" s="55"/>
      <c r="E97" s="55"/>
      <c r="F97" s="262" t="s">
        <v>383</v>
      </c>
      <c r="G97" s="277" t="str">
        <f>'INSUMOS - PREÇOS'!$C$78</f>
        <v>Vacina contra Pasteurelose</v>
      </c>
      <c r="H97" s="335"/>
      <c r="I97" s="57">
        <f>'INSUMOS - QUANTIDADES'!G139</f>
        <v>0</v>
      </c>
      <c r="J97" s="61" t="s">
        <v>224</v>
      </c>
      <c r="K97" s="10">
        <f>($I$97*'INSUMOS - PREÇOS'!F78)*$N$11</f>
        <v>0</v>
      </c>
    </row>
    <row r="98" spans="2:14" ht="18.95" customHeight="1">
      <c r="B98" s="8"/>
      <c r="C98" s="55"/>
      <c r="D98" s="55"/>
      <c r="E98" s="55"/>
      <c r="F98" s="262" t="s">
        <v>384</v>
      </c>
      <c r="G98" s="277" t="str">
        <f>'INSUMOS - PREÇOS'!$C$79</f>
        <v>Vacina contra Linfadenite</v>
      </c>
      <c r="H98" s="335"/>
      <c r="I98" s="57">
        <f>'INSUMOS - QUANTIDADES'!G144</f>
        <v>1.2</v>
      </c>
      <c r="J98" s="61" t="s">
        <v>224</v>
      </c>
      <c r="K98" s="10">
        <f>($I$98*'INSUMOS - PREÇOS'!F79)*$N$11</f>
        <v>0</v>
      </c>
    </row>
    <row r="99" spans="2:14" ht="18.95" customHeight="1">
      <c r="B99" s="8"/>
      <c r="C99" s="55"/>
      <c r="D99" s="55"/>
      <c r="E99" s="55"/>
      <c r="F99" s="262" t="s">
        <v>385</v>
      </c>
      <c r="G99" s="277" t="str">
        <f>'INSUMOS - PREÇOS'!$C$80</f>
        <v>Vacina contra Foot Rot</v>
      </c>
      <c r="H99" s="335"/>
      <c r="I99" s="57">
        <f>'INSUMOS - QUANTIDADES'!G149</f>
        <v>0</v>
      </c>
      <c r="J99" s="61" t="s">
        <v>224</v>
      </c>
      <c r="K99" s="10">
        <f>($I$99*'INSUMOS - PREÇOS'!F80)*$N$11</f>
        <v>0</v>
      </c>
    </row>
    <row r="100" spans="2:14" s="48" customFormat="1" ht="18.95" customHeight="1">
      <c r="B100" s="8"/>
      <c r="C100" s="55"/>
      <c r="D100" s="55"/>
      <c r="E100" s="55"/>
      <c r="F100" s="262" t="s">
        <v>386</v>
      </c>
      <c r="G100" s="277" t="str">
        <f>'INSUMOS - PREÇOS'!$C$81</f>
        <v>Vacina contra outra coisa</v>
      </c>
      <c r="H100" s="335"/>
      <c r="I100" s="57">
        <f>'INSUMOS - QUANTIDADES'!G154</f>
        <v>0</v>
      </c>
      <c r="J100" s="61" t="s">
        <v>224</v>
      </c>
      <c r="K100" s="10">
        <f>($I$100*'INSUMOS - PREÇOS'!F81)*$N$11</f>
        <v>0</v>
      </c>
      <c r="M100" s="1"/>
      <c r="N100" s="1"/>
    </row>
    <row r="101" spans="2:14" s="48" customFormat="1" ht="18.95" customHeight="1">
      <c r="B101" s="8"/>
      <c r="C101" s="55"/>
      <c r="D101" s="55"/>
      <c r="E101" s="55"/>
      <c r="F101" s="262" t="s">
        <v>387</v>
      </c>
      <c r="G101" s="282" t="str">
        <f>'INSUMOS - PREÇOS'!C85</f>
        <v>Outro medicamento</v>
      </c>
      <c r="H101" s="336"/>
      <c r="I101" s="57">
        <f>'INSUMOS - QUANTIDADES'!G174</f>
        <v>0</v>
      </c>
      <c r="J101" s="61" t="s">
        <v>43</v>
      </c>
      <c r="K101" s="10">
        <f>($I$101*'INSUMOS - PREÇOS'!F85)*$N$11</f>
        <v>0</v>
      </c>
    </row>
    <row r="102" spans="2:14" s="48" customFormat="1" ht="18.95" customHeight="1">
      <c r="B102" s="8"/>
      <c r="C102" s="55"/>
      <c r="D102" s="55"/>
      <c r="E102" s="55"/>
      <c r="F102" s="262" t="s">
        <v>388</v>
      </c>
      <c r="G102" s="277" t="s">
        <v>49</v>
      </c>
      <c r="H102" s="335"/>
      <c r="I102" s="56">
        <f>'INSUMOS - QUANTIDADES'!G182</f>
        <v>0</v>
      </c>
      <c r="J102" s="61" t="s">
        <v>233</v>
      </c>
      <c r="K102" s="10">
        <f>($I$102*'INSUMOS - PREÇOS'!F88)*$N$11</f>
        <v>0</v>
      </c>
    </row>
    <row r="103" spans="2:14" s="48" customFormat="1" ht="18.95" customHeight="1">
      <c r="B103" s="8"/>
      <c r="C103" s="55"/>
      <c r="D103" s="55"/>
      <c r="E103" s="55" t="s">
        <v>234</v>
      </c>
      <c r="F103" s="277" t="s">
        <v>26</v>
      </c>
      <c r="G103" s="277"/>
      <c r="H103" s="277"/>
      <c r="I103" s="56"/>
      <c r="J103" s="61"/>
      <c r="K103" s="10"/>
    </row>
    <row r="104" spans="2:14" s="48" customFormat="1" ht="18.95" customHeight="1">
      <c r="B104" s="8"/>
      <c r="C104" s="55"/>
      <c r="D104" s="55"/>
      <c r="E104" s="55"/>
      <c r="F104" s="262" t="s">
        <v>389</v>
      </c>
      <c r="G104" s="277" t="str">
        <f>'INSUMOS - PREÇOS'!$C$82</f>
        <v>Anti helmíntico Tipo 1</v>
      </c>
      <c r="H104" s="335"/>
      <c r="I104" s="57">
        <f>'INSUMOS - QUANTIDADES'!G160</f>
        <v>14.399999999999999</v>
      </c>
      <c r="J104" s="61" t="s">
        <v>43</v>
      </c>
      <c r="K104" s="10">
        <f>$I$104*'INSUMOS - PREÇOS'!F82*$N$12</f>
        <v>5.7767039999999996</v>
      </c>
    </row>
    <row r="105" spans="2:14" s="48" customFormat="1" ht="18.95" customHeight="1">
      <c r="B105" s="8"/>
      <c r="C105" s="55"/>
      <c r="D105" s="55"/>
      <c r="E105" s="55"/>
      <c r="F105" s="262" t="s">
        <v>390</v>
      </c>
      <c r="G105" s="277" t="str">
        <f>'INSUMOS - PREÇOS'!$C$83</f>
        <v>Anti helmíntico Tipo 2</v>
      </c>
      <c r="H105" s="335"/>
      <c r="I105" s="57">
        <f>('INSUMOS - QUANTIDADES'!G165)</f>
        <v>14.399999999999999</v>
      </c>
      <c r="J105" s="61" t="s">
        <v>43</v>
      </c>
      <c r="K105" s="10">
        <f>$I$105*'INSUMOS - PREÇOS'!F83*$N$12</f>
        <v>0</v>
      </c>
    </row>
    <row r="106" spans="2:14" s="48" customFormat="1" ht="18.95" customHeight="1">
      <c r="B106" s="8"/>
      <c r="C106" s="55"/>
      <c r="D106" s="55"/>
      <c r="E106" s="55"/>
      <c r="F106" s="262" t="s">
        <v>391</v>
      </c>
      <c r="G106" s="277" t="str">
        <f>'INSUMOS - PREÇOS'!$C$84</f>
        <v>Anti helmíntico Tipo 3</v>
      </c>
      <c r="H106" s="335"/>
      <c r="I106" s="57">
        <f>('INSUMOS - QUANTIDADES'!G170)</f>
        <v>14.399999999999999</v>
      </c>
      <c r="J106" s="61" t="s">
        <v>43</v>
      </c>
      <c r="K106" s="10">
        <f>$I$106*'INSUMOS - PREÇOS'!F84*$N$12</f>
        <v>0</v>
      </c>
    </row>
    <row r="107" spans="2:14" s="48" customFormat="1" ht="18.95" customHeight="1">
      <c r="B107" s="8"/>
      <c r="C107" s="55"/>
      <c r="D107" s="55"/>
      <c r="E107" s="55"/>
      <c r="F107" s="262" t="s">
        <v>392</v>
      </c>
      <c r="G107" s="277" t="str">
        <f>'INSUMOS - PREÇOS'!$C$77</f>
        <v>Vacina contra Clostridioses</v>
      </c>
      <c r="H107" s="335"/>
      <c r="I107" s="57">
        <f>'INSUMOS - QUANTIDADES'!G135</f>
        <v>1.2</v>
      </c>
      <c r="J107" s="61" t="s">
        <v>224</v>
      </c>
      <c r="K107" s="10">
        <f>$I$107*'INSUMOS - PREÇOS'!F77*$N$12</f>
        <v>6.8039999999999994</v>
      </c>
    </row>
    <row r="108" spans="2:14" ht="18.95" customHeight="1">
      <c r="B108" s="8"/>
      <c r="C108" s="55"/>
      <c r="D108" s="55"/>
      <c r="E108" s="55"/>
      <c r="F108" s="262" t="s">
        <v>393</v>
      </c>
      <c r="G108" s="277" t="str">
        <f>'INSUMOS - PREÇOS'!$C$78</f>
        <v>Vacina contra Pasteurelose</v>
      </c>
      <c r="H108" s="335"/>
      <c r="I108" s="57">
        <f>'INSUMOS - QUANTIDADES'!G140</f>
        <v>0</v>
      </c>
      <c r="J108" s="61" t="s">
        <v>224</v>
      </c>
      <c r="K108" s="10">
        <f>$I$108*'INSUMOS - PREÇOS'!F78*$N$12</f>
        <v>0</v>
      </c>
      <c r="M108" s="48"/>
      <c r="N108" s="48"/>
    </row>
    <row r="109" spans="2:14" ht="18.95" customHeight="1">
      <c r="B109" s="8"/>
      <c r="C109" s="55"/>
      <c r="D109" s="55"/>
      <c r="E109" s="55"/>
      <c r="F109" s="262" t="s">
        <v>394</v>
      </c>
      <c r="G109" s="277" t="str">
        <f>'INSUMOS - PREÇOS'!$C$79</f>
        <v>Vacina contra Linfadenite</v>
      </c>
      <c r="H109" s="335"/>
      <c r="I109" s="57">
        <f>'INSUMOS - QUANTIDADES'!G145</f>
        <v>1.2</v>
      </c>
      <c r="J109" s="61" t="s">
        <v>224</v>
      </c>
      <c r="K109" s="10">
        <f>$I$107*'INSUMOS - PREÇOS'!F79*$N$12</f>
        <v>0</v>
      </c>
      <c r="M109" s="48"/>
      <c r="N109" s="48"/>
    </row>
    <row r="110" spans="2:14" ht="18.95" customHeight="1">
      <c r="B110" s="8"/>
      <c r="C110" s="55"/>
      <c r="D110" s="55"/>
      <c r="E110" s="55"/>
      <c r="F110" s="262" t="s">
        <v>395</v>
      </c>
      <c r="G110" s="277" t="str">
        <f>'INSUMOS - PREÇOS'!$C$80</f>
        <v>Vacina contra Foot Rot</v>
      </c>
      <c r="H110" s="335"/>
      <c r="I110" s="57">
        <f>'INSUMOS - QUANTIDADES'!G155</f>
        <v>0</v>
      </c>
      <c r="J110" s="61" t="s">
        <v>224</v>
      </c>
      <c r="K110" s="10">
        <f>$I$108*'INSUMOS - PREÇOS'!F80*$N$12</f>
        <v>0</v>
      </c>
      <c r="M110" s="48"/>
      <c r="N110" s="48"/>
    </row>
    <row r="111" spans="2:14" ht="18.95" customHeight="1">
      <c r="B111" s="8"/>
      <c r="C111" s="55"/>
      <c r="D111" s="55"/>
      <c r="E111" s="55"/>
      <c r="F111" s="262" t="s">
        <v>396</v>
      </c>
      <c r="G111" s="277" t="str">
        <f>'INSUMOS - PREÇOS'!$C$81</f>
        <v>Vacina contra outra coisa</v>
      </c>
      <c r="H111" s="335"/>
      <c r="I111" s="57">
        <f>'INSUMOS - QUANTIDADES'!G140</f>
        <v>0</v>
      </c>
      <c r="J111" s="61" t="s">
        <v>224</v>
      </c>
      <c r="K111" s="10">
        <f>$I$111*'INSUMOS - PREÇOS'!F81*$N$12</f>
        <v>0</v>
      </c>
      <c r="M111" s="48"/>
      <c r="N111" s="48"/>
    </row>
    <row r="112" spans="2:14" ht="18.95" customHeight="1">
      <c r="B112" s="8"/>
      <c r="C112" s="55"/>
      <c r="D112" s="55"/>
      <c r="E112" s="55"/>
      <c r="F112" s="262" t="s">
        <v>397</v>
      </c>
      <c r="G112" s="282" t="str">
        <f>'INSUMOS - PREÇOS'!C85</f>
        <v>Outro medicamento</v>
      </c>
      <c r="H112" s="336"/>
      <c r="I112" s="57">
        <f>'INSUMOS - QUANTIDADES'!G175</f>
        <v>0</v>
      </c>
      <c r="J112" s="61" t="s">
        <v>43</v>
      </c>
      <c r="K112" s="10">
        <f>($I$112*'INSUMOS - PREÇOS'!F85)*$N$12</f>
        <v>0</v>
      </c>
      <c r="M112" s="48"/>
      <c r="N112" s="48"/>
    </row>
    <row r="113" spans="2:14" ht="18.95" customHeight="1">
      <c r="B113" s="8"/>
      <c r="C113" s="55"/>
      <c r="D113" s="55"/>
      <c r="E113" s="55"/>
      <c r="F113" s="262" t="s">
        <v>398</v>
      </c>
      <c r="G113" s="277" t="s">
        <v>48</v>
      </c>
      <c r="H113" s="335"/>
      <c r="I113" s="56">
        <f>'INSUMOS - QUANTIDADES'!G181</f>
        <v>0</v>
      </c>
      <c r="J113" s="61" t="s">
        <v>233</v>
      </c>
      <c r="K113" s="10">
        <f>$I$113*'INSUMOS - PREÇOS'!F87*$N$12</f>
        <v>0</v>
      </c>
      <c r="M113" s="48"/>
      <c r="N113" s="48"/>
    </row>
    <row r="114" spans="2:14" ht="18.95" customHeight="1">
      <c r="B114" s="8"/>
      <c r="C114" s="55"/>
      <c r="D114" s="55"/>
      <c r="E114" s="55"/>
      <c r="F114" s="329" t="s">
        <v>235</v>
      </c>
      <c r="G114" s="329"/>
      <c r="H114" s="330"/>
      <c r="I114" s="56"/>
      <c r="J114" s="61"/>
      <c r="K114" s="60">
        <f>SUM(K73:K113)</f>
        <v>1812.21044736</v>
      </c>
      <c r="M114" s="48"/>
      <c r="N114" s="48"/>
    </row>
    <row r="115" spans="2:14" ht="18.95" customHeight="1">
      <c r="B115" s="8"/>
      <c r="C115" s="55"/>
      <c r="D115" s="55"/>
      <c r="E115" s="55"/>
      <c r="F115" s="272"/>
      <c r="G115" s="272"/>
      <c r="H115" s="273"/>
      <c r="I115" s="56"/>
      <c r="J115" s="61"/>
      <c r="K115" s="60"/>
      <c r="M115" s="48"/>
      <c r="N115" s="48"/>
    </row>
    <row r="116" spans="2:14" ht="18.95" customHeight="1">
      <c r="B116" s="8"/>
      <c r="C116" s="55"/>
      <c r="D116" s="55" t="s">
        <v>430</v>
      </c>
      <c r="E116" s="353" t="s">
        <v>431</v>
      </c>
      <c r="F116" s="353"/>
      <c r="G116" s="353"/>
      <c r="H116" s="354"/>
      <c r="I116" s="56"/>
      <c r="J116" s="61"/>
      <c r="K116" s="60"/>
      <c r="M116" s="48"/>
      <c r="N116" s="48"/>
    </row>
    <row r="117" spans="2:14" ht="18.95" customHeight="1">
      <c r="B117" s="8"/>
      <c r="C117" s="55"/>
      <c r="D117" s="55"/>
      <c r="E117" s="55" t="s">
        <v>288</v>
      </c>
      <c r="F117" s="277" t="s">
        <v>434</v>
      </c>
      <c r="G117" s="277"/>
      <c r="H117" s="335"/>
      <c r="I117" s="239">
        <f>'INSUMOS - QUANTIDADES'!G188</f>
        <v>0</v>
      </c>
      <c r="J117" s="61" t="s">
        <v>437</v>
      </c>
      <c r="K117" s="364">
        <f>I117*'INSUMOS - PREÇOS'!F90</f>
        <v>0</v>
      </c>
      <c r="M117" s="48"/>
      <c r="N117" s="48"/>
    </row>
    <row r="118" spans="2:14" ht="18.95" customHeight="1">
      <c r="B118" s="8"/>
      <c r="C118" s="55"/>
      <c r="D118" s="55"/>
      <c r="E118" s="55" t="s">
        <v>291</v>
      </c>
      <c r="F118" s="277" t="s">
        <v>435</v>
      </c>
      <c r="G118" s="277"/>
      <c r="H118" s="335"/>
      <c r="I118" s="239">
        <f>'INSUMOS - QUANTIDADES'!G189</f>
        <v>0</v>
      </c>
      <c r="J118" s="61" t="s">
        <v>437</v>
      </c>
      <c r="K118" s="364">
        <f>I118*'INSUMOS - PREÇOS'!F91</f>
        <v>0</v>
      </c>
      <c r="M118" s="48"/>
      <c r="N118" s="48"/>
    </row>
    <row r="119" spans="2:14" ht="18.95" customHeight="1">
      <c r="B119" s="8"/>
      <c r="C119" s="55"/>
      <c r="D119" s="55"/>
      <c r="E119" s="55" t="s">
        <v>432</v>
      </c>
      <c r="F119" s="277" t="s">
        <v>436</v>
      </c>
      <c r="G119" s="277"/>
      <c r="H119" s="335"/>
      <c r="I119" s="239">
        <f>'INSUMOS - QUANTIDADES'!G190</f>
        <v>0</v>
      </c>
      <c r="J119" s="61" t="s">
        <v>437</v>
      </c>
      <c r="K119" s="364">
        <f>I119*'INSUMOS - PREÇOS'!F92</f>
        <v>0</v>
      </c>
      <c r="M119" s="48"/>
      <c r="N119" s="48"/>
    </row>
    <row r="120" spans="2:14" ht="18.95" customHeight="1">
      <c r="B120" s="8"/>
      <c r="C120" s="55"/>
      <c r="D120" s="55"/>
      <c r="E120" s="55"/>
      <c r="F120" s="329" t="s">
        <v>433</v>
      </c>
      <c r="G120" s="329"/>
      <c r="H120" s="330"/>
      <c r="I120" s="56"/>
      <c r="J120" s="61"/>
      <c r="K120" s="60">
        <f>SUM(K117:K119)</f>
        <v>0</v>
      </c>
      <c r="M120" s="48"/>
      <c r="N120" s="48"/>
    </row>
    <row r="121" spans="2:14" ht="18.95" customHeight="1">
      <c r="B121" s="8"/>
      <c r="C121" s="55"/>
      <c r="D121" s="55"/>
      <c r="E121" s="55"/>
      <c r="F121" s="272"/>
      <c r="G121" s="272"/>
      <c r="H121" s="273"/>
      <c r="I121" s="56"/>
      <c r="J121" s="61"/>
      <c r="K121" s="60"/>
    </row>
    <row r="122" spans="2:14" ht="18.95" customHeight="1">
      <c r="B122" s="8"/>
      <c r="C122" s="55"/>
      <c r="D122" s="55" t="s">
        <v>447</v>
      </c>
      <c r="E122" s="353" t="s">
        <v>448</v>
      </c>
      <c r="F122" s="353"/>
      <c r="G122" s="353"/>
      <c r="H122" s="354"/>
      <c r="I122" s="56"/>
      <c r="J122" s="61"/>
      <c r="K122" s="60"/>
    </row>
    <row r="123" spans="2:14" ht="18.95" customHeight="1">
      <c r="B123" s="8"/>
      <c r="C123" s="55"/>
      <c r="D123" s="53"/>
      <c r="E123" s="262" t="s">
        <v>449</v>
      </c>
      <c r="F123" s="277" t="str">
        <f>'INSUMOS - PREÇOS'!C94</f>
        <v>Serviço de abate</v>
      </c>
      <c r="G123" s="277"/>
      <c r="H123" s="335"/>
      <c r="I123" s="239">
        <f>'INSUMOS - QUANTIDADES'!H283</f>
        <v>244.79999999999998</v>
      </c>
      <c r="J123" s="61" t="s">
        <v>453</v>
      </c>
      <c r="K123" s="10">
        <f>I123*'INSUMOS - PREÇOS'!F94</f>
        <v>7343.9999999999991</v>
      </c>
    </row>
    <row r="124" spans="2:14" ht="18.95" customHeight="1">
      <c r="B124" s="8"/>
      <c r="C124" s="55"/>
      <c r="D124" s="53"/>
      <c r="E124" s="262" t="s">
        <v>450</v>
      </c>
      <c r="F124" s="277" t="str">
        <f>'INSUMOS - PREÇOS'!C95</f>
        <v>Serviço de desossa</v>
      </c>
      <c r="G124" s="277"/>
      <c r="H124" s="335"/>
      <c r="I124" s="239">
        <f>'INSUMOS - QUANTIDADES'!H284</f>
        <v>244.79999999999998</v>
      </c>
      <c r="J124" s="61" t="s">
        <v>453</v>
      </c>
      <c r="K124" s="10">
        <f>I124*'INSUMOS - PREÇOS'!F95</f>
        <v>19584</v>
      </c>
    </row>
    <row r="125" spans="2:14" ht="18.95" customHeight="1">
      <c r="B125" s="8"/>
      <c r="C125" s="55"/>
      <c r="D125" s="53"/>
      <c r="E125" s="262" t="s">
        <v>451</v>
      </c>
      <c r="F125" s="277" t="str">
        <f>'INSUMOS - PREÇOS'!C96</f>
        <v>Serviço de armazenamento</v>
      </c>
      <c r="G125" s="277"/>
      <c r="H125" s="335"/>
      <c r="I125" s="239">
        <f>'INSUMOS - QUANTIDADES'!H285</f>
        <v>244.79999999999998</v>
      </c>
      <c r="J125" s="61" t="s">
        <v>453</v>
      </c>
      <c r="K125" s="10">
        <f>I125*'INSUMOS - PREÇOS'!F96</f>
        <v>4896</v>
      </c>
    </row>
    <row r="126" spans="2:14" ht="18.95" customHeight="1">
      <c r="B126" s="8"/>
      <c r="C126" s="55"/>
      <c r="D126" s="53"/>
      <c r="E126" s="262" t="s">
        <v>452</v>
      </c>
      <c r="F126" s="277" t="s">
        <v>524</v>
      </c>
      <c r="G126" s="277"/>
      <c r="H126" s="335"/>
      <c r="I126" s="239"/>
      <c r="J126" s="61"/>
      <c r="K126" s="60"/>
    </row>
    <row r="127" spans="2:14" ht="18.95" customHeight="1">
      <c r="B127" s="8"/>
      <c r="C127" s="55"/>
      <c r="D127" s="53"/>
      <c r="E127" s="1"/>
      <c r="F127" s="1" t="s">
        <v>525</v>
      </c>
      <c r="G127" s="359" t="str">
        <f>'INSUMOS - QUANTIDADES'!D286</f>
        <v>Linguiça</v>
      </c>
      <c r="H127" s="335"/>
      <c r="I127" s="239">
        <f>'INSUMOS - QUANTIDADES'!H286</f>
        <v>240</v>
      </c>
      <c r="J127" s="61" t="s">
        <v>454</v>
      </c>
      <c r="K127" s="10">
        <f>I127*'INSUMOS - PREÇOS'!F98</f>
        <v>2400</v>
      </c>
    </row>
    <row r="128" spans="2:14" ht="18.95" customHeight="1">
      <c r="B128" s="8"/>
      <c r="C128" s="55"/>
      <c r="D128" s="53"/>
      <c r="E128" s="262"/>
      <c r="F128" s="352" t="s">
        <v>526</v>
      </c>
      <c r="G128" s="277" t="str">
        <f>'INSUMOS - QUANTIDADES'!D287</f>
        <v>Hambúrguer</v>
      </c>
      <c r="H128" s="335"/>
      <c r="I128" s="239">
        <f>'INSUMOS - QUANTIDADES'!H287</f>
        <v>0</v>
      </c>
      <c r="J128" s="61" t="s">
        <v>454</v>
      </c>
      <c r="K128" s="10">
        <f>I128*'INSUMOS - PREÇOS'!F99</f>
        <v>0</v>
      </c>
    </row>
    <row r="129" spans="2:14" ht="18.95" customHeight="1">
      <c r="B129" s="8"/>
      <c r="C129" s="55"/>
      <c r="D129" s="53"/>
      <c r="E129" s="262"/>
      <c r="F129" s="352" t="s">
        <v>527</v>
      </c>
      <c r="G129" s="277" t="str">
        <f>'INSUMOS - QUANTIDADES'!D288</f>
        <v>Outro 1</v>
      </c>
      <c r="H129" s="335"/>
      <c r="I129" s="239">
        <f>'INSUMOS - QUANTIDADES'!H288</f>
        <v>0</v>
      </c>
      <c r="J129" s="61" t="s">
        <v>454</v>
      </c>
      <c r="K129" s="10">
        <f>I129*'INSUMOS - PREÇOS'!F100</f>
        <v>0</v>
      </c>
    </row>
    <row r="130" spans="2:14" s="47" customFormat="1" ht="18.95" customHeight="1">
      <c r="B130" s="8"/>
      <c r="C130" s="55"/>
      <c r="D130" s="53"/>
      <c r="E130" s="262"/>
      <c r="F130" s="352" t="s">
        <v>528</v>
      </c>
      <c r="G130" s="277" t="str">
        <f>'INSUMOS - QUANTIDADES'!D289</f>
        <v>Outro 2</v>
      </c>
      <c r="H130" s="335"/>
      <c r="I130" s="239">
        <f>'INSUMOS - QUANTIDADES'!H289</f>
        <v>0</v>
      </c>
      <c r="J130" s="61" t="s">
        <v>454</v>
      </c>
      <c r="K130" s="10">
        <f>I130*'INSUMOS - PREÇOS'!F101</f>
        <v>0</v>
      </c>
      <c r="M130" s="1"/>
      <c r="N130" s="1"/>
    </row>
    <row r="131" spans="2:14" s="47" customFormat="1" ht="18.95" customHeight="1">
      <c r="B131" s="8"/>
      <c r="C131" s="55"/>
      <c r="D131" s="53"/>
      <c r="E131" s="262"/>
      <c r="F131" s="329" t="s">
        <v>455</v>
      </c>
      <c r="G131" s="329"/>
      <c r="H131" s="330"/>
      <c r="I131" s="239"/>
      <c r="J131" s="61"/>
      <c r="K131" s="60">
        <f>SUM(K123:K130)</f>
        <v>34224</v>
      </c>
      <c r="M131" s="1"/>
      <c r="N131" s="1"/>
    </row>
    <row r="132" spans="2:14" s="47" customFormat="1" ht="18.95" customHeight="1">
      <c r="B132" s="8"/>
      <c r="C132" s="55"/>
      <c r="D132" s="53"/>
      <c r="E132" s="262"/>
      <c r="F132" s="272"/>
      <c r="G132" s="272"/>
      <c r="H132" s="273"/>
      <c r="I132" s="239"/>
      <c r="J132" s="61"/>
      <c r="K132" s="60"/>
      <c r="M132" s="1"/>
      <c r="N132" s="1"/>
    </row>
    <row r="133" spans="2:14" s="47" customFormat="1" ht="18.95" customHeight="1">
      <c r="B133" s="8"/>
      <c r="C133" s="55"/>
      <c r="D133" s="329" t="s">
        <v>236</v>
      </c>
      <c r="E133" s="329"/>
      <c r="F133" s="329"/>
      <c r="G133" s="329"/>
      <c r="H133" s="330"/>
      <c r="I133" s="56"/>
      <c r="J133" s="61"/>
      <c r="K133" s="60">
        <f>SUM(K114+K69+K120+K131)</f>
        <v>110899.09236096001</v>
      </c>
    </row>
    <row r="134" spans="2:14" s="47" customFormat="1" ht="18.95" customHeight="1">
      <c r="B134" s="8"/>
      <c r="C134" s="55"/>
      <c r="D134" s="53"/>
      <c r="E134" s="272"/>
      <c r="F134" s="272"/>
      <c r="G134" s="272"/>
      <c r="H134" s="273"/>
      <c r="I134" s="56"/>
      <c r="J134" s="61"/>
      <c r="K134" s="60"/>
    </row>
    <row r="135" spans="2:14" s="47" customFormat="1" ht="18.95" customHeight="1">
      <c r="B135" s="52"/>
      <c r="C135" s="53" t="s">
        <v>237</v>
      </c>
      <c r="D135" s="329" t="s">
        <v>238</v>
      </c>
      <c r="E135" s="329"/>
      <c r="F135" s="329"/>
      <c r="G135" s="329"/>
      <c r="H135" s="330"/>
      <c r="I135" s="54"/>
      <c r="J135" s="59"/>
      <c r="K135" s="60"/>
    </row>
    <row r="136" spans="2:14" s="47" customFormat="1" ht="18.95" customHeight="1">
      <c r="B136" s="52"/>
      <c r="C136" s="53"/>
      <c r="D136" s="55" t="s">
        <v>172</v>
      </c>
      <c r="E136" s="353" t="str">
        <f>'INSUMOS - PREÇOS'!C110</f>
        <v>Custo eventual variável - 1</v>
      </c>
      <c r="F136" s="353"/>
      <c r="G136" s="353"/>
      <c r="H136" s="354"/>
      <c r="I136" s="54"/>
      <c r="J136" s="79" t="s">
        <v>156</v>
      </c>
      <c r="K136" s="10">
        <f>'INSUMOS - PREÇOS'!F110*12</f>
        <v>0</v>
      </c>
    </row>
    <row r="137" spans="2:14" s="47" customFormat="1" ht="18.95" customHeight="1">
      <c r="B137" s="52"/>
      <c r="C137" s="53"/>
      <c r="D137" s="55" t="s">
        <v>219</v>
      </c>
      <c r="E137" s="353" t="str">
        <f>'INSUMOS - PREÇOS'!C111</f>
        <v>Custo eventual variável - 2</v>
      </c>
      <c r="F137" s="353"/>
      <c r="G137" s="353"/>
      <c r="H137" s="354"/>
      <c r="I137" s="54"/>
      <c r="J137" s="79" t="s">
        <v>156</v>
      </c>
      <c r="K137" s="10">
        <f>'INSUMOS - PREÇOS'!F111*12</f>
        <v>0</v>
      </c>
    </row>
    <row r="138" spans="2:14" s="47" customFormat="1" ht="18.95" customHeight="1">
      <c r="B138" s="52"/>
      <c r="C138" s="53"/>
      <c r="D138" s="55" t="s">
        <v>268</v>
      </c>
      <c r="E138" s="353" t="str">
        <f>'INSUMOS - PREÇOS'!C112</f>
        <v>Custo eventual variável - 3</v>
      </c>
      <c r="F138" s="353"/>
      <c r="G138" s="353"/>
      <c r="H138" s="354"/>
      <c r="I138" s="54"/>
      <c r="J138" s="79" t="s">
        <v>156</v>
      </c>
      <c r="K138" s="10">
        <f>'INSUMOS - PREÇOS'!F112*12</f>
        <v>0</v>
      </c>
    </row>
    <row r="139" spans="2:14" ht="18.95" customHeight="1">
      <c r="B139" s="8"/>
      <c r="C139" s="55"/>
      <c r="D139" s="49" t="s">
        <v>271</v>
      </c>
      <c r="E139" s="353" t="s">
        <v>239</v>
      </c>
      <c r="F139" s="353"/>
      <c r="G139" s="353"/>
      <c r="H139" s="353"/>
      <c r="I139" s="56"/>
      <c r="J139" s="79" t="s">
        <v>156</v>
      </c>
      <c r="K139" s="10">
        <f>'INSUMOS - PREÇOS'!F114</f>
        <v>500</v>
      </c>
      <c r="M139" s="47"/>
      <c r="N139" s="47"/>
    </row>
    <row r="140" spans="2:14" ht="18.95" customHeight="1">
      <c r="B140" s="8"/>
      <c r="C140" s="55"/>
      <c r="D140" s="49" t="s">
        <v>460</v>
      </c>
      <c r="E140" s="353" t="s">
        <v>240</v>
      </c>
      <c r="F140" s="353"/>
      <c r="G140" s="353"/>
      <c r="H140" s="354"/>
      <c r="I140" s="56"/>
      <c r="J140" s="79" t="s">
        <v>156</v>
      </c>
      <c r="K140" s="10">
        <f>'INSUMOS - PREÇOS'!F115</f>
        <v>100</v>
      </c>
      <c r="M140" s="47"/>
      <c r="N140" s="47"/>
    </row>
    <row r="141" spans="2:14" ht="18.95" customHeight="1">
      <c r="B141" s="8"/>
      <c r="C141" s="55"/>
      <c r="D141" s="329" t="s">
        <v>545</v>
      </c>
      <c r="E141" s="329"/>
      <c r="F141" s="329"/>
      <c r="G141" s="329"/>
      <c r="H141" s="330"/>
      <c r="I141" s="56"/>
      <c r="J141" s="61"/>
      <c r="K141" s="60">
        <f>SUM(K136:K140)</f>
        <v>600</v>
      </c>
      <c r="M141" s="47"/>
      <c r="N141" s="47"/>
    </row>
    <row r="142" spans="2:14" s="48" customFormat="1" ht="18.95" customHeight="1">
      <c r="B142" s="8"/>
      <c r="C142" s="53"/>
      <c r="D142" s="53"/>
      <c r="E142" s="272"/>
      <c r="F142" s="272"/>
      <c r="G142" s="272"/>
      <c r="H142" s="272"/>
      <c r="I142" s="56"/>
      <c r="J142" s="61"/>
      <c r="K142" s="60"/>
      <c r="M142" s="1"/>
      <c r="N142" s="1"/>
    </row>
    <row r="143" spans="2:14" s="48" customFormat="1" ht="18.95" customHeight="1" thickBot="1">
      <c r="B143" s="18"/>
      <c r="C143" s="331" t="s">
        <v>241</v>
      </c>
      <c r="D143" s="331"/>
      <c r="E143" s="331"/>
      <c r="F143" s="331"/>
      <c r="G143" s="331"/>
      <c r="H143" s="331"/>
      <c r="I143" s="73"/>
      <c r="J143" s="80"/>
      <c r="K143" s="23">
        <f>SUM(K133+K141)</f>
        <v>111499.09236096001</v>
      </c>
      <c r="M143" s="1"/>
      <c r="N143" s="1"/>
    </row>
    <row r="144" spans="2:14" ht="18.95" customHeight="1" thickBot="1">
      <c r="B144" s="3" t="s">
        <v>242</v>
      </c>
      <c r="C144" s="332" t="s">
        <v>243</v>
      </c>
      <c r="D144" s="332"/>
      <c r="E144" s="332"/>
      <c r="F144" s="332"/>
      <c r="G144" s="332"/>
      <c r="H144" s="332"/>
      <c r="I144" s="51" t="s">
        <v>167</v>
      </c>
      <c r="J144" s="257" t="s">
        <v>109</v>
      </c>
      <c r="K144" s="58"/>
    </row>
    <row r="145" spans="2:11" ht="18.95" customHeight="1">
      <c r="B145" s="8"/>
      <c r="C145" s="53" t="s">
        <v>244</v>
      </c>
      <c r="D145" s="333" t="s">
        <v>50</v>
      </c>
      <c r="E145" s="333"/>
      <c r="F145" s="333"/>
      <c r="G145" s="333"/>
      <c r="H145" s="334"/>
      <c r="I145" s="56"/>
      <c r="J145" s="61"/>
      <c r="K145" s="10"/>
    </row>
    <row r="146" spans="2:11" ht="18.95" customHeight="1">
      <c r="B146" s="8"/>
      <c r="C146" s="55"/>
      <c r="D146" s="55" t="s">
        <v>172</v>
      </c>
      <c r="E146" s="353" t="s">
        <v>129</v>
      </c>
      <c r="F146" s="353"/>
      <c r="G146" s="353"/>
      <c r="H146" s="354"/>
      <c r="I146" s="48"/>
      <c r="J146" s="48"/>
      <c r="K146" s="81"/>
    </row>
    <row r="147" spans="2:11" ht="18.95" customHeight="1">
      <c r="B147" s="8"/>
      <c r="C147" s="55"/>
      <c r="D147" s="55"/>
      <c r="E147" s="262" t="s">
        <v>175</v>
      </c>
      <c r="F147" s="277" t="str">
        <f>'INSUMOS - QUANTIDADES'!B197</f>
        <v xml:space="preserve">   Funcionário 1</v>
      </c>
      <c r="G147" s="277"/>
      <c r="H147" s="335"/>
      <c r="I147" s="56">
        <f>('INSUMOS - QUANTIDADES'!C197*'INSUMOS - QUANTIDADES'!E197)</f>
        <v>1056</v>
      </c>
      <c r="J147" s="61" t="s">
        <v>245</v>
      </c>
      <c r="K147" s="10">
        <f>(('INSUMOS - PREÇOS'!F34)/220)*$I$147</f>
        <v>5040</v>
      </c>
    </row>
    <row r="148" spans="2:11" ht="18.95" customHeight="1">
      <c r="B148" s="8"/>
      <c r="C148" s="55"/>
      <c r="D148" s="55"/>
      <c r="E148" s="262" t="s">
        <v>197</v>
      </c>
      <c r="F148" s="277" t="str">
        <f>'INSUMOS - QUANTIDADES'!B198</f>
        <v xml:space="preserve">   Funcionário 2</v>
      </c>
      <c r="G148" s="277"/>
      <c r="H148" s="335"/>
      <c r="I148" s="56">
        <f>('INSUMOS - QUANTIDADES'!C198*'INSUMOS - QUANTIDADES'!E198)</f>
        <v>0</v>
      </c>
      <c r="J148" s="61" t="s">
        <v>245</v>
      </c>
      <c r="K148" s="10">
        <f>(('INSUMOS - PREÇOS'!F35)/220)*$I$148</f>
        <v>0</v>
      </c>
    </row>
    <row r="149" spans="2:11" ht="18.95" customHeight="1">
      <c r="B149" s="8"/>
      <c r="C149" s="55"/>
      <c r="D149" s="55"/>
      <c r="E149" s="262" t="s">
        <v>209</v>
      </c>
      <c r="F149" s="277" t="str">
        <f>'INSUMOS - QUANTIDADES'!B199</f>
        <v xml:space="preserve">   Funcionário 3</v>
      </c>
      <c r="G149" s="277"/>
      <c r="H149" s="335"/>
      <c r="I149" s="56">
        <f>('INSUMOS - QUANTIDADES'!C199*'INSUMOS - QUANTIDADES'!E199)</f>
        <v>0</v>
      </c>
      <c r="J149" s="61" t="s">
        <v>245</v>
      </c>
      <c r="K149" s="10">
        <f>(('INSUMOS - PREÇOS'!F36)/220)*$I$149</f>
        <v>0</v>
      </c>
    </row>
    <row r="150" spans="2:11" ht="18.95" customHeight="1">
      <c r="B150" s="8"/>
      <c r="C150" s="55"/>
      <c r="D150" s="55"/>
      <c r="E150" s="262" t="s">
        <v>246</v>
      </c>
      <c r="F150" s="277" t="str">
        <f>'INSUMOS - QUANTIDADES'!B200</f>
        <v xml:space="preserve">   Funcionário 4</v>
      </c>
      <c r="G150" s="277"/>
      <c r="H150" s="335"/>
      <c r="I150" s="56">
        <f>('INSUMOS - QUANTIDADES'!C200*'INSUMOS - QUANTIDADES'!E200)</f>
        <v>0</v>
      </c>
      <c r="J150" s="61" t="s">
        <v>245</v>
      </c>
      <c r="K150" s="10">
        <f>(('INSUMOS - PREÇOS'!F37)/220)*$I$150</f>
        <v>0</v>
      </c>
    </row>
    <row r="151" spans="2:11" ht="18.95" customHeight="1">
      <c r="B151" s="8"/>
      <c r="C151" s="55"/>
      <c r="D151" s="55"/>
      <c r="E151" s="262" t="s">
        <v>247</v>
      </c>
      <c r="F151" s="277" t="str">
        <f>'INSUMOS - QUANTIDADES'!B201</f>
        <v xml:space="preserve">   Funcionário 5</v>
      </c>
      <c r="G151" s="277"/>
      <c r="H151" s="335"/>
      <c r="I151" s="56">
        <f>('INSUMOS - QUANTIDADES'!C201*'INSUMOS - QUANTIDADES'!E201)</f>
        <v>0</v>
      </c>
      <c r="J151" s="61" t="s">
        <v>245</v>
      </c>
      <c r="K151" s="10">
        <f>(('INSUMOS - PREÇOS'!F38)/220)*$I$151</f>
        <v>0</v>
      </c>
    </row>
    <row r="152" spans="2:11" ht="18.95" customHeight="1">
      <c r="B152" s="8"/>
      <c r="C152" s="55"/>
      <c r="D152" s="55" t="s">
        <v>219</v>
      </c>
      <c r="E152" s="353" t="s">
        <v>248</v>
      </c>
      <c r="F152" s="353"/>
      <c r="G152" s="353"/>
      <c r="H152" s="354"/>
      <c r="I152" s="74"/>
      <c r="J152" s="74"/>
      <c r="K152" s="82"/>
    </row>
    <row r="153" spans="2:11" ht="18.95" customHeight="1">
      <c r="B153" s="8"/>
      <c r="C153" s="55"/>
      <c r="D153" s="55"/>
      <c r="E153" s="262" t="s">
        <v>221</v>
      </c>
      <c r="F153" s="277" t="str">
        <f>'INSUMOS - QUANTIDADES'!B203</f>
        <v xml:space="preserve">   Funcionário 6</v>
      </c>
      <c r="G153" s="277"/>
      <c r="H153" s="335"/>
      <c r="I153" s="56">
        <f>('INSUMOS - QUANTIDADES'!C203*'INSUMOS - QUANTIDADES'!E203)</f>
        <v>960</v>
      </c>
      <c r="J153" s="61" t="s">
        <v>245</v>
      </c>
      <c r="K153" s="10">
        <f>(('INSUMOS - PREÇOS'!F40)/8)*$I$153</f>
        <v>6000</v>
      </c>
    </row>
    <row r="154" spans="2:11" ht="18.95" customHeight="1">
      <c r="B154" s="8"/>
      <c r="C154" s="55"/>
      <c r="D154" s="55"/>
      <c r="E154" s="262" t="s">
        <v>227</v>
      </c>
      <c r="F154" s="277" t="str">
        <f>'INSUMOS - QUANTIDADES'!B204</f>
        <v xml:space="preserve">   Funcionário 7</v>
      </c>
      <c r="G154" s="277"/>
      <c r="H154" s="335"/>
      <c r="I154" s="56">
        <f>('INSUMOS - QUANTIDADES'!C204*'INSUMOS - QUANTIDADES'!E204)</f>
        <v>0</v>
      </c>
      <c r="J154" s="61" t="s">
        <v>245</v>
      </c>
      <c r="K154" s="10">
        <f>(('INSUMOS - PREÇOS'!F41)/8)*$I$154</f>
        <v>0</v>
      </c>
    </row>
    <row r="155" spans="2:11" ht="18.95" customHeight="1">
      <c r="B155" s="8"/>
      <c r="C155" s="55"/>
      <c r="D155" s="55"/>
      <c r="E155" s="262" t="s">
        <v>234</v>
      </c>
      <c r="F155" s="277" t="str">
        <f>'INSUMOS - QUANTIDADES'!B205</f>
        <v xml:space="preserve">   Funcionário 8</v>
      </c>
      <c r="G155" s="277"/>
      <c r="H155" s="335"/>
      <c r="I155" s="56">
        <f>('INSUMOS - QUANTIDADES'!C205*'INSUMOS - QUANTIDADES'!E205)</f>
        <v>0</v>
      </c>
      <c r="J155" s="61" t="s">
        <v>245</v>
      </c>
      <c r="K155" s="10">
        <f>(('INSUMOS - PREÇOS'!F42)/8)*$I$155</f>
        <v>0</v>
      </c>
    </row>
    <row r="156" spans="2:11" ht="18.95" customHeight="1">
      <c r="B156" s="8"/>
      <c r="C156" s="55"/>
      <c r="D156" s="55"/>
      <c r="E156" s="262" t="s">
        <v>249</v>
      </c>
      <c r="F156" s="277" t="str">
        <f>'INSUMOS - QUANTIDADES'!B206</f>
        <v xml:space="preserve">   Funcionário 9</v>
      </c>
      <c r="G156" s="277"/>
      <c r="H156" s="335"/>
      <c r="I156" s="56">
        <f>('INSUMOS - QUANTIDADES'!C206*'INSUMOS - QUANTIDADES'!E206)</f>
        <v>0</v>
      </c>
      <c r="J156" s="61" t="s">
        <v>245</v>
      </c>
      <c r="K156" s="10">
        <f>(('INSUMOS - PREÇOS'!F43)/8)*$I$156</f>
        <v>0</v>
      </c>
    </row>
    <row r="157" spans="2:11" ht="18.95" customHeight="1">
      <c r="B157" s="8"/>
      <c r="C157" s="55"/>
      <c r="D157" s="55"/>
      <c r="E157" s="262" t="s">
        <v>250</v>
      </c>
      <c r="F157" s="277" t="str">
        <f>'INSUMOS - QUANTIDADES'!B207</f>
        <v xml:space="preserve">   Funcionário 10</v>
      </c>
      <c r="G157" s="277"/>
      <c r="H157" s="335"/>
      <c r="I157" s="56">
        <f>('INSUMOS - QUANTIDADES'!C207*'INSUMOS - QUANTIDADES'!E207)</f>
        <v>0</v>
      </c>
      <c r="J157" s="61" t="s">
        <v>245</v>
      </c>
      <c r="K157" s="10">
        <f>(('INSUMOS - PREÇOS'!F44)/8)*$I$157</f>
        <v>0</v>
      </c>
    </row>
    <row r="158" spans="2:11" ht="18.95" customHeight="1">
      <c r="B158" s="8"/>
      <c r="C158" s="55"/>
      <c r="D158" s="329" t="s">
        <v>251</v>
      </c>
      <c r="E158" s="329"/>
      <c r="F158" s="329"/>
      <c r="G158" s="329"/>
      <c r="H158" s="330"/>
      <c r="I158" s="56"/>
      <c r="J158" s="61"/>
      <c r="K158" s="60">
        <f>SUM(K147:K157)</f>
        <v>11040</v>
      </c>
    </row>
    <row r="159" spans="2:11" ht="18.95" customHeight="1">
      <c r="B159" s="8"/>
      <c r="C159" s="55"/>
      <c r="D159" s="53"/>
      <c r="E159" s="272"/>
      <c r="F159" s="272"/>
      <c r="G159" s="272"/>
      <c r="H159" s="273"/>
      <c r="I159" s="56"/>
      <c r="J159" s="61"/>
      <c r="K159" s="60"/>
    </row>
    <row r="160" spans="2:11" ht="18.95" customHeight="1">
      <c r="B160" s="8"/>
      <c r="C160" s="53" t="s">
        <v>252</v>
      </c>
      <c r="D160" s="329" t="s">
        <v>108</v>
      </c>
      <c r="E160" s="329"/>
      <c r="F160" s="329"/>
      <c r="G160" s="329"/>
      <c r="H160" s="330"/>
      <c r="I160" s="56"/>
      <c r="J160" s="61"/>
      <c r="K160" s="10"/>
    </row>
    <row r="161" spans="2:11" ht="18.95" customHeight="1">
      <c r="B161" s="8"/>
      <c r="C161" s="55"/>
      <c r="D161" s="55" t="s">
        <v>172</v>
      </c>
      <c r="E161" s="277" t="s">
        <v>110</v>
      </c>
      <c r="F161" s="277"/>
      <c r="G161" s="277"/>
      <c r="H161" s="335"/>
      <c r="I161" s="75">
        <f>'INSUMOS - QUANTIDADES'!F275*12</f>
        <v>120</v>
      </c>
      <c r="J161" s="61" t="s">
        <v>253</v>
      </c>
      <c r="K161" s="10">
        <f>$I$161*'INSUMOS - PREÇOS'!F46</f>
        <v>243.36</v>
      </c>
    </row>
    <row r="162" spans="2:11" ht="18.95" customHeight="1">
      <c r="B162" s="8"/>
      <c r="C162" s="55"/>
      <c r="D162" s="55" t="s">
        <v>219</v>
      </c>
      <c r="E162" s="277" t="s">
        <v>404</v>
      </c>
      <c r="F162" s="277"/>
      <c r="G162" s="277"/>
      <c r="H162" s="335"/>
      <c r="I162" s="75">
        <f>'INSUMOS - QUANTIDADES'!F276*12</f>
        <v>720</v>
      </c>
      <c r="J162" s="61" t="s">
        <v>253</v>
      </c>
      <c r="K162" s="10">
        <f>$I$162*'INSUMOS - PREÇOS'!F47</f>
        <v>3024</v>
      </c>
    </row>
    <row r="163" spans="2:11" ht="18.95" customHeight="1">
      <c r="B163" s="8"/>
      <c r="C163" s="55"/>
      <c r="D163" s="55" t="s">
        <v>268</v>
      </c>
      <c r="E163" s="277" t="s">
        <v>112</v>
      </c>
      <c r="F163" s="277"/>
      <c r="G163" s="277"/>
      <c r="H163" s="335"/>
      <c r="I163" s="75">
        <f>'INSUMOS - QUANTIDADES'!F277*12</f>
        <v>2400</v>
      </c>
      <c r="J163" s="61" t="s">
        <v>254</v>
      </c>
      <c r="K163" s="10">
        <f>($I$163*'INSUMOS - PREÇOS'!F48)</f>
        <v>517.36800000000005</v>
      </c>
    </row>
    <row r="164" spans="2:11" ht="18.95" customHeight="1">
      <c r="B164" s="8"/>
      <c r="C164" s="55"/>
      <c r="D164" s="329" t="s">
        <v>255</v>
      </c>
      <c r="E164" s="329"/>
      <c r="F164" s="329"/>
      <c r="G164" s="329"/>
      <c r="H164" s="330"/>
      <c r="I164" s="56"/>
      <c r="J164" s="61"/>
      <c r="K164" s="60">
        <f>SUM(K161:K163)</f>
        <v>3784.7280000000001</v>
      </c>
    </row>
    <row r="165" spans="2:11" ht="18.95" customHeight="1">
      <c r="B165" s="8"/>
      <c r="C165" s="55"/>
      <c r="D165" s="55"/>
      <c r="E165" s="55"/>
      <c r="F165" s="262"/>
      <c r="G165" s="262"/>
      <c r="H165" s="262"/>
      <c r="I165" s="56"/>
      <c r="J165" s="61"/>
      <c r="K165" s="10"/>
    </row>
    <row r="166" spans="2:11" ht="18.95" customHeight="1">
      <c r="B166" s="52"/>
      <c r="C166" s="53" t="s">
        <v>256</v>
      </c>
      <c r="D166" s="329" t="s">
        <v>257</v>
      </c>
      <c r="E166" s="329"/>
      <c r="F166" s="329"/>
      <c r="G166" s="329"/>
      <c r="H166" s="329"/>
      <c r="I166" s="54"/>
      <c r="J166" s="59"/>
      <c r="K166" s="60"/>
    </row>
    <row r="167" spans="2:11" ht="18.95" customHeight="1">
      <c r="B167" s="8"/>
      <c r="C167" s="55"/>
      <c r="D167" s="55" t="s">
        <v>172</v>
      </c>
      <c r="E167" s="353" t="s">
        <v>258</v>
      </c>
      <c r="F167" s="353"/>
      <c r="G167" s="353"/>
      <c r="H167" s="353"/>
      <c r="I167" s="76"/>
      <c r="J167" s="83"/>
      <c r="K167" s="84"/>
    </row>
    <row r="168" spans="2:11" ht="18.95" customHeight="1">
      <c r="B168" s="8"/>
      <c r="C168" s="55"/>
      <c r="D168" s="55"/>
      <c r="E168" s="262" t="s">
        <v>175</v>
      </c>
      <c r="F168" s="277" t="s">
        <v>118</v>
      </c>
      <c r="G168" s="277"/>
      <c r="H168" s="335"/>
      <c r="I168" s="56">
        <f>'INSUMOS - QUANTIDADES'!E215</f>
        <v>306.17999999999995</v>
      </c>
      <c r="J168" s="61" t="s">
        <v>259</v>
      </c>
      <c r="K168" s="10">
        <f>((1/'INSUMOS - QUANTIDADES'!$G$236)*(($I$168*'INSUMOS - PREÇOS'!F12)-('INSUMOS - QUANTIDADES'!$J$236)))/2</f>
        <v>1913.6249999999998</v>
      </c>
    </row>
    <row r="169" spans="2:11" ht="18.95" customHeight="1">
      <c r="B169" s="8"/>
      <c r="C169" s="55"/>
      <c r="D169" s="55"/>
      <c r="E169" s="262" t="s">
        <v>197</v>
      </c>
      <c r="F169" s="277" t="str">
        <f>'INSUMOS - PREÇOS'!C13</f>
        <v>Cercas - tipo 1</v>
      </c>
      <c r="G169" s="277"/>
      <c r="H169" s="335"/>
      <c r="I169" s="56">
        <f>'INSUMOS - QUANTIDADES'!E216</f>
        <v>0</v>
      </c>
      <c r="J169" s="61" t="s">
        <v>75</v>
      </c>
      <c r="K169" s="10">
        <f>((1/'INSUMOS - QUANTIDADES'!G237)*((I169*'INSUMOS - PREÇOS'!F13)-('INSUMOS - QUANTIDADES'!J237)))</f>
        <v>0</v>
      </c>
    </row>
    <row r="170" spans="2:11" ht="18.95" customHeight="1">
      <c r="B170" s="8"/>
      <c r="C170" s="55"/>
      <c r="D170" s="55"/>
      <c r="E170" s="262" t="s">
        <v>209</v>
      </c>
      <c r="F170" s="277" t="str">
        <f>'INSUMOS - PREÇOS'!C14</f>
        <v>Cercas - tipo 2</v>
      </c>
      <c r="G170" s="277"/>
      <c r="H170" s="335"/>
      <c r="I170" s="56">
        <f>'INSUMOS - QUANTIDADES'!E217</f>
        <v>0</v>
      </c>
      <c r="J170" s="61" t="s">
        <v>75</v>
      </c>
      <c r="K170" s="10">
        <f>((1/'INSUMOS - QUANTIDADES'!G238)*((I170*'INSUMOS - PREÇOS'!F14)-('INSUMOS - QUANTIDADES'!J238)))</f>
        <v>0</v>
      </c>
    </row>
    <row r="171" spans="2:11" ht="18.95" customHeight="1">
      <c r="B171" s="8"/>
      <c r="C171" s="55"/>
      <c r="D171" s="55"/>
      <c r="E171" s="262" t="s">
        <v>246</v>
      </c>
      <c r="F171" s="277" t="str">
        <f>'INSUMOS - PREÇOS'!C15</f>
        <v>Cercas - tipo 3</v>
      </c>
      <c r="G171" s="277"/>
      <c r="H171" s="335"/>
      <c r="I171" s="56">
        <f>'INSUMOS - QUANTIDADES'!E218</f>
        <v>0</v>
      </c>
      <c r="J171" s="61" t="s">
        <v>75</v>
      </c>
      <c r="K171" s="10">
        <f>((1/'INSUMOS - QUANTIDADES'!G239)*((I171*'INSUMOS - PREÇOS'!F15)-('INSUMOS - QUANTIDADES'!J239)))</f>
        <v>0</v>
      </c>
    </row>
    <row r="172" spans="2:11" ht="18.95" customHeight="1">
      <c r="B172" s="8"/>
      <c r="C172" s="55"/>
      <c r="D172" s="55" t="s">
        <v>219</v>
      </c>
      <c r="E172" s="353" t="s">
        <v>260</v>
      </c>
      <c r="F172" s="353"/>
      <c r="G172" s="353"/>
      <c r="H172" s="353"/>
      <c r="I172" s="56"/>
      <c r="J172" s="61"/>
      <c r="K172" s="10"/>
    </row>
    <row r="173" spans="2:11" ht="18.95" customHeight="1">
      <c r="B173" s="8"/>
      <c r="C173" s="55"/>
      <c r="D173" s="55"/>
      <c r="E173" s="275" t="s">
        <v>221</v>
      </c>
      <c r="F173" s="337" t="str">
        <f>'INSUMOS - QUANTIDADES'!B223</f>
        <v>Trator</v>
      </c>
      <c r="G173" s="337"/>
      <c r="H173" s="338"/>
      <c r="I173" s="77">
        <f>('INSUMOS - QUANTIDADES'!F223*12)</f>
        <v>180</v>
      </c>
      <c r="J173" s="61" t="s">
        <v>245</v>
      </c>
      <c r="K173" s="10">
        <f>$I$173*(('INSUMOS - PREÇOS'!F17-'INSUMOS - QUANTIDADES'!$J$223)/'INSUMOS - QUANTIDADES'!$G$223)</f>
        <v>261</v>
      </c>
    </row>
    <row r="174" spans="2:11" ht="18.95" customHeight="1">
      <c r="B174" s="8"/>
      <c r="C174" s="55"/>
      <c r="D174" s="55"/>
      <c r="E174" s="275" t="s">
        <v>227</v>
      </c>
      <c r="F174" s="337" t="str">
        <f>'INSUMOS - QUANTIDADES'!B224</f>
        <v>Carreta 4 rodas</v>
      </c>
      <c r="G174" s="337"/>
      <c r="H174" s="338"/>
      <c r="I174" s="77">
        <f>('INSUMOS - QUANTIDADES'!F224*12)</f>
        <v>180</v>
      </c>
      <c r="J174" s="61" t="s">
        <v>245</v>
      </c>
      <c r="K174" s="10">
        <f>$I$174*(('INSUMOS - PREÇOS'!F18-'INSUMOS - QUANTIDADES'!$J$224)/'INSUMOS - QUANTIDADES'!$G$224)</f>
        <v>166.5</v>
      </c>
    </row>
    <row r="175" spans="2:11" ht="18.95" customHeight="1">
      <c r="B175" s="8"/>
      <c r="C175" s="55"/>
      <c r="D175" s="55"/>
      <c r="E175" s="275" t="s">
        <v>234</v>
      </c>
      <c r="F175" s="337" t="str">
        <f>'INSUMOS - QUANTIDADES'!B225</f>
        <v>Ensiladeira</v>
      </c>
      <c r="G175" s="337"/>
      <c r="H175" s="338"/>
      <c r="I175" s="77">
        <f>('INSUMOS - QUANTIDADES'!F225*12)</f>
        <v>180</v>
      </c>
      <c r="J175" s="61" t="s">
        <v>245</v>
      </c>
      <c r="K175" s="10">
        <f>$I$175*(('INSUMOS - PREÇOS'!F19-'INSUMOS - QUANTIDADES'!$J$225)/'INSUMOS - QUANTIDADES'!$G$225)</f>
        <v>1584.0000000000002</v>
      </c>
    </row>
    <row r="176" spans="2:11" ht="18.95" customHeight="1">
      <c r="B176" s="8"/>
      <c r="C176" s="55"/>
      <c r="D176" s="55"/>
      <c r="E176" s="275" t="s">
        <v>249</v>
      </c>
      <c r="F176" s="337" t="str">
        <f>'INSUMOS - QUANTIDADES'!B226</f>
        <v>Equipamento 1</v>
      </c>
      <c r="G176" s="337"/>
      <c r="H176" s="338"/>
      <c r="I176" s="77">
        <f>('INSUMOS - QUANTIDADES'!F226*12)</f>
        <v>360</v>
      </c>
      <c r="J176" s="61" t="s">
        <v>245</v>
      </c>
      <c r="K176" s="10">
        <f>$I$176*(('INSUMOS - PREÇOS'!F20-'INSUMOS - QUANTIDADES'!$J$226)/'INSUMOS - QUANTIDADES'!$G$226)</f>
        <v>0</v>
      </c>
    </row>
    <row r="177" spans="2:14" ht="18.95" customHeight="1">
      <c r="B177" s="8"/>
      <c r="C177" s="55"/>
      <c r="D177" s="55"/>
      <c r="E177" s="275" t="s">
        <v>250</v>
      </c>
      <c r="F177" s="337" t="str">
        <f>'INSUMOS - QUANTIDADES'!B227</f>
        <v>Equipamento 2</v>
      </c>
      <c r="G177" s="337"/>
      <c r="H177" s="338"/>
      <c r="I177" s="77">
        <f>('INSUMOS - QUANTIDADES'!F227*12)</f>
        <v>360</v>
      </c>
      <c r="J177" s="61" t="s">
        <v>245</v>
      </c>
      <c r="K177" s="10">
        <f>$I$177*(('INSUMOS - PREÇOS'!F21-'INSUMOS - QUANTIDADES'!$J$227)/'INSUMOS - QUANTIDADES'!$G$227)</f>
        <v>0</v>
      </c>
    </row>
    <row r="178" spans="2:14" ht="18.95" customHeight="1">
      <c r="B178" s="8"/>
      <c r="C178" s="55"/>
      <c r="D178" s="55"/>
      <c r="E178" s="275" t="s">
        <v>261</v>
      </c>
      <c r="F178" s="337" t="str">
        <f>'INSUMOS - QUANTIDADES'!B228</f>
        <v>Equipamento 3</v>
      </c>
      <c r="G178" s="337"/>
      <c r="H178" s="338"/>
      <c r="I178" s="77">
        <f>('INSUMOS - QUANTIDADES'!F228*12)</f>
        <v>360</v>
      </c>
      <c r="J178" s="61" t="s">
        <v>245</v>
      </c>
      <c r="K178" s="10">
        <f>$I$178*(('INSUMOS - PREÇOS'!F22-'INSUMOS - QUANTIDADES'!$J$228)/'INSUMOS - QUANTIDADES'!$G$228)</f>
        <v>0</v>
      </c>
    </row>
    <row r="179" spans="2:14" ht="18.95" customHeight="1">
      <c r="B179" s="8"/>
      <c r="C179" s="55"/>
      <c r="D179" s="55"/>
      <c r="E179" s="275" t="s">
        <v>262</v>
      </c>
      <c r="F179" s="337" t="str">
        <f>'INSUMOS - QUANTIDADES'!B230</f>
        <v>Balança</v>
      </c>
      <c r="G179" s="337"/>
      <c r="H179" s="338"/>
      <c r="I179" s="77"/>
      <c r="J179" s="61"/>
      <c r="K179" s="10">
        <f>(('INSUMOS - PREÇOS'!F23-'INSUMOS - QUANTIDADES'!J230)/'INSUMOS - QUANTIDADES'!G230)</f>
        <v>50</v>
      </c>
    </row>
    <row r="180" spans="2:14" ht="18.95" customHeight="1">
      <c r="B180" s="8"/>
      <c r="C180" s="55"/>
      <c r="D180" s="55"/>
      <c r="E180" s="275" t="s">
        <v>263</v>
      </c>
      <c r="F180" s="337" t="str">
        <f>'INSUMOS - QUANTIDADES'!B231</f>
        <v>Equipamento 5</v>
      </c>
      <c r="G180" s="337"/>
      <c r="H180" s="338"/>
      <c r="I180" s="77"/>
      <c r="J180" s="61"/>
      <c r="K180" s="10">
        <f>(('INSUMOS - PREÇOS'!F24-'INSUMOS - QUANTIDADES'!J231)/'INSUMOS - QUANTIDADES'!G231)</f>
        <v>0</v>
      </c>
    </row>
    <row r="181" spans="2:14" ht="18.95" customHeight="1">
      <c r="B181" s="8"/>
      <c r="C181" s="55"/>
      <c r="D181" s="55"/>
      <c r="E181" s="275" t="s">
        <v>264</v>
      </c>
      <c r="F181" s="337" t="str">
        <f>'INSUMOS - QUANTIDADES'!B232</f>
        <v>Equipamento 6</v>
      </c>
      <c r="G181" s="337"/>
      <c r="H181" s="338"/>
      <c r="I181" s="77"/>
      <c r="J181" s="61"/>
      <c r="K181" s="10">
        <f>(('INSUMOS - PREÇOS'!F25-'INSUMOS - QUANTIDADES'!J232)/'INSUMOS - QUANTIDADES'!G232)</f>
        <v>0</v>
      </c>
    </row>
    <row r="182" spans="2:14" ht="18.95" customHeight="1">
      <c r="B182" s="8"/>
      <c r="C182" s="55"/>
      <c r="D182" s="55"/>
      <c r="E182" s="275" t="s">
        <v>265</v>
      </c>
      <c r="F182" s="337" t="str">
        <f>'INSUMOS - QUANTIDADES'!B233</f>
        <v>Equipamento 7</v>
      </c>
      <c r="G182" s="337"/>
      <c r="H182" s="338"/>
      <c r="I182" s="77"/>
      <c r="J182" s="61"/>
      <c r="K182" s="10">
        <f>(('INSUMOS - PREÇOS'!F26-'INSUMOS - QUANTIDADES'!J233)/'INSUMOS - QUANTIDADES'!G233)</f>
        <v>0</v>
      </c>
    </row>
    <row r="183" spans="2:14" ht="18.95" customHeight="1">
      <c r="B183" s="8"/>
      <c r="C183" s="55"/>
      <c r="D183" s="55"/>
      <c r="E183" s="275" t="s">
        <v>266</v>
      </c>
      <c r="F183" s="337" t="str">
        <f>'INSUMOS - QUANTIDADES'!B234</f>
        <v>Equipamento 8</v>
      </c>
      <c r="G183" s="337"/>
      <c r="H183" s="338"/>
      <c r="I183" s="77"/>
      <c r="J183" s="61"/>
      <c r="K183" s="10">
        <f>(('INSUMOS - PREÇOS'!F27-'INSUMOS - QUANTIDADES'!J234)/'INSUMOS - QUANTIDADES'!G234)</f>
        <v>0</v>
      </c>
    </row>
    <row r="184" spans="2:14" s="47" customFormat="1" ht="18.95" customHeight="1">
      <c r="B184" s="8"/>
      <c r="C184" s="55"/>
      <c r="D184" s="55"/>
      <c r="E184" s="275" t="s">
        <v>267</v>
      </c>
      <c r="F184" s="337" t="str">
        <f>'INSUMOS - QUANTIDADES'!B235</f>
        <v>Equipamento 9</v>
      </c>
      <c r="G184" s="337"/>
      <c r="H184" s="338"/>
      <c r="I184" s="77"/>
      <c r="J184" s="61"/>
      <c r="K184" s="10">
        <f>(('INSUMOS - PREÇOS'!F28-'INSUMOS - QUANTIDADES'!J235)/'INSUMOS - QUANTIDADES'!G235)</f>
        <v>0</v>
      </c>
      <c r="M184" s="1"/>
      <c r="N184" s="1"/>
    </row>
    <row r="185" spans="2:14" s="47" customFormat="1" ht="18.95" customHeight="1">
      <c r="B185" s="8"/>
      <c r="C185" s="55"/>
      <c r="D185" s="55" t="s">
        <v>268</v>
      </c>
      <c r="E185" s="353" t="s">
        <v>269</v>
      </c>
      <c r="F185" s="353"/>
      <c r="G185" s="353"/>
      <c r="H185" s="353"/>
      <c r="I185" s="56">
        <f>'INSUMOS - QUANTIDADES'!G241</f>
        <v>36</v>
      </c>
      <c r="J185" s="61" t="s">
        <v>270</v>
      </c>
      <c r="K185" s="10">
        <f>(((1/$I$185))*('INSUMOS - PREÇOS'!F31-'INSUMOS - QUANTIDADES'!$J$241))*$N$12</f>
        <v>197.91666666666663</v>
      </c>
      <c r="M185" s="1"/>
      <c r="N185" s="1"/>
    </row>
    <row r="186" spans="2:14" s="47" customFormat="1" ht="18.95" customHeight="1">
      <c r="B186" s="8"/>
      <c r="C186" s="55"/>
      <c r="D186" s="55" t="s">
        <v>271</v>
      </c>
      <c r="E186" s="353" t="s">
        <v>272</v>
      </c>
      <c r="F186" s="353"/>
      <c r="G186" s="353"/>
      <c r="H186" s="354"/>
      <c r="I186" s="56">
        <f>'INSUMOS - QUANTIDADES'!G242</f>
        <v>72</v>
      </c>
      <c r="J186" s="61" t="s">
        <v>270</v>
      </c>
      <c r="K186" s="10">
        <f>(((1/$I$186))*('INSUMOS - PREÇOS'!F32-'INSUMOS - QUANTIDADES'!$J$242))*$N$15</f>
        <v>0</v>
      </c>
      <c r="M186" s="87"/>
      <c r="N186" s="1"/>
    </row>
    <row r="187" spans="2:14" ht="18.95" customHeight="1">
      <c r="B187" s="8"/>
      <c r="C187" s="55"/>
      <c r="D187" s="329" t="s">
        <v>273</v>
      </c>
      <c r="E187" s="329"/>
      <c r="F187" s="329"/>
      <c r="G187" s="329"/>
      <c r="H187" s="330"/>
      <c r="I187" s="56"/>
      <c r="J187" s="61"/>
      <c r="K187" s="60">
        <f>SUM(K168:K186)</f>
        <v>4173.041666666667</v>
      </c>
    </row>
    <row r="188" spans="2:14" s="47" customFormat="1" ht="18.95" customHeight="1">
      <c r="B188" s="8"/>
      <c r="C188" s="53"/>
      <c r="D188" s="53"/>
      <c r="E188" s="272"/>
      <c r="F188" s="272"/>
      <c r="G188" s="272"/>
      <c r="H188" s="272"/>
      <c r="I188" s="56"/>
      <c r="J188" s="61"/>
      <c r="K188" s="60"/>
      <c r="M188" s="1"/>
      <c r="N188" s="1"/>
    </row>
    <row r="189" spans="2:14" s="47" customFormat="1" ht="18.95" customHeight="1">
      <c r="B189" s="52"/>
      <c r="C189" s="53" t="s">
        <v>274</v>
      </c>
      <c r="D189" s="329" t="s">
        <v>275</v>
      </c>
      <c r="E189" s="329"/>
      <c r="F189" s="329"/>
      <c r="G189" s="329"/>
      <c r="H189" s="329"/>
      <c r="I189" s="54"/>
      <c r="J189" s="59"/>
      <c r="K189" s="60"/>
      <c r="M189" s="1"/>
      <c r="N189" s="1"/>
    </row>
    <row r="190" spans="2:14" s="47" customFormat="1" ht="18.95" customHeight="1">
      <c r="B190" s="8"/>
      <c r="C190" s="55"/>
      <c r="D190" s="55" t="s">
        <v>172</v>
      </c>
      <c r="E190" s="355" t="s">
        <v>276</v>
      </c>
      <c r="F190" s="355"/>
      <c r="G190" s="355"/>
      <c r="H190" s="355"/>
      <c r="I190" s="77"/>
      <c r="J190" s="85"/>
      <c r="K190" s="10"/>
      <c r="M190" s="1"/>
      <c r="N190" s="1"/>
    </row>
    <row r="191" spans="2:14" s="47" customFormat="1" ht="18.95" customHeight="1">
      <c r="B191" s="8"/>
      <c r="C191" s="55"/>
      <c r="D191" s="55"/>
      <c r="E191" s="275" t="s">
        <v>175</v>
      </c>
      <c r="F191" s="337" t="str">
        <f>'INSUMOS - QUANTIDADES'!B223</f>
        <v>Trator</v>
      </c>
      <c r="G191" s="337"/>
      <c r="H191" s="338"/>
      <c r="I191" s="77">
        <f t="shared" ref="I191:I202" si="0">I173</f>
        <v>180</v>
      </c>
      <c r="J191" s="61" t="s">
        <v>245</v>
      </c>
      <c r="K191" s="10">
        <f>$I$191*(('INSUMOS - QUANTIDADES'!E248*'INSUMOS - PREÇOS'!F17)/('INSUMOS - QUANTIDADES'!$G$223))</f>
        <v>97.874999999999986</v>
      </c>
      <c r="M191" s="1"/>
      <c r="N191" s="1"/>
    </row>
    <row r="192" spans="2:14" s="47" customFormat="1" ht="18.95" customHeight="1">
      <c r="B192" s="8"/>
      <c r="C192" s="55"/>
      <c r="D192" s="55"/>
      <c r="E192" s="275" t="s">
        <v>197</v>
      </c>
      <c r="F192" s="337" t="str">
        <f>'INSUMOS - QUANTIDADES'!B224</f>
        <v>Carreta 4 rodas</v>
      </c>
      <c r="G192" s="337"/>
      <c r="H192" s="338"/>
      <c r="I192" s="77">
        <f t="shared" si="0"/>
        <v>180</v>
      </c>
      <c r="J192" s="61" t="s">
        <v>245</v>
      </c>
      <c r="K192" s="10">
        <f>$I$192*(('INSUMOS - QUANTIDADES'!E248*'INSUMOS - PREÇOS'!F18)/('INSUMOS - QUANTIDADES'!$G$224))</f>
        <v>62.4375</v>
      </c>
    </row>
    <row r="193" spans="2:14" s="47" customFormat="1" ht="18.95" customHeight="1">
      <c r="B193" s="8"/>
      <c r="C193" s="55"/>
      <c r="D193" s="55"/>
      <c r="E193" s="275" t="s">
        <v>209</v>
      </c>
      <c r="F193" s="337" t="str">
        <f>'INSUMOS - QUANTIDADES'!B225</f>
        <v>Ensiladeira</v>
      </c>
      <c r="G193" s="337"/>
      <c r="H193" s="338"/>
      <c r="I193" s="77">
        <f t="shared" si="0"/>
        <v>180</v>
      </c>
      <c r="J193" s="61" t="s">
        <v>245</v>
      </c>
      <c r="K193" s="10">
        <f>$I$193*(('INSUMOS - QUANTIDADES'!E248*'INSUMOS - PREÇOS'!F19)/('INSUMOS - QUANTIDADES'!$G$225))</f>
        <v>594</v>
      </c>
    </row>
    <row r="194" spans="2:14" ht="18.95" customHeight="1">
      <c r="B194" s="8"/>
      <c r="C194" s="55"/>
      <c r="D194" s="55"/>
      <c r="E194" s="275" t="s">
        <v>246</v>
      </c>
      <c r="F194" s="337" t="str">
        <f>'INSUMOS - QUANTIDADES'!B226</f>
        <v>Equipamento 1</v>
      </c>
      <c r="G194" s="337"/>
      <c r="H194" s="338"/>
      <c r="I194" s="77">
        <f t="shared" si="0"/>
        <v>360</v>
      </c>
      <c r="J194" s="61" t="s">
        <v>245</v>
      </c>
      <c r="K194" s="10">
        <f>$I$194*(('INSUMOS - QUANTIDADES'!E248*'INSUMOS - PREÇOS'!F20)/('INSUMOS - QUANTIDADES'!$G$226))</f>
        <v>0</v>
      </c>
      <c r="M194" s="47"/>
      <c r="N194" s="47"/>
    </row>
    <row r="195" spans="2:14" ht="18.95" customHeight="1">
      <c r="B195" s="8"/>
      <c r="C195" s="55"/>
      <c r="D195" s="55"/>
      <c r="E195" s="275" t="s">
        <v>247</v>
      </c>
      <c r="F195" s="337" t="str">
        <f>'INSUMOS - QUANTIDADES'!B227</f>
        <v>Equipamento 2</v>
      </c>
      <c r="G195" s="337"/>
      <c r="H195" s="338"/>
      <c r="I195" s="77">
        <f t="shared" si="0"/>
        <v>360</v>
      </c>
      <c r="J195" s="61" t="s">
        <v>245</v>
      </c>
      <c r="K195" s="10">
        <f>$I$195*(('INSUMOS - QUANTIDADES'!E248*'INSUMOS - PREÇOS'!F21)/('INSUMOS - QUANTIDADES'!$G$227))</f>
        <v>0</v>
      </c>
      <c r="M195" s="47"/>
      <c r="N195" s="47"/>
    </row>
    <row r="196" spans="2:14" ht="18.95" customHeight="1">
      <c r="B196" s="8"/>
      <c r="C196" s="55"/>
      <c r="D196" s="55"/>
      <c r="E196" s="275" t="s">
        <v>277</v>
      </c>
      <c r="F196" s="337" t="str">
        <f>'INSUMOS - QUANTIDADES'!B228</f>
        <v>Equipamento 3</v>
      </c>
      <c r="G196" s="337"/>
      <c r="H196" s="338"/>
      <c r="I196" s="77">
        <f t="shared" si="0"/>
        <v>360</v>
      </c>
      <c r="J196" s="61" t="s">
        <v>245</v>
      </c>
      <c r="K196" s="86">
        <f>$I$196*(('INSUMOS - QUANTIDADES'!E253*'INSUMOS - PREÇOS'!F22)/('INSUMOS - QUANTIDADES'!$G$224))</f>
        <v>0</v>
      </c>
      <c r="M196" s="47"/>
      <c r="N196" s="47"/>
    </row>
    <row r="197" spans="2:14" ht="18.95" customHeight="1">
      <c r="B197" s="8"/>
      <c r="C197" s="55"/>
      <c r="D197" s="55"/>
      <c r="E197" s="275" t="s">
        <v>278</v>
      </c>
      <c r="F197" s="337" t="str">
        <f>'INSUMOS - QUANTIDADES'!B230</f>
        <v>Balança</v>
      </c>
      <c r="G197" s="337"/>
      <c r="H197" s="338"/>
      <c r="I197" s="78">
        <f t="shared" si="0"/>
        <v>0</v>
      </c>
      <c r="J197" s="246" t="s">
        <v>279</v>
      </c>
      <c r="K197" s="86">
        <f>$I$197*(('INSUMOS - QUANTIDADES'!E253*'INSUMOS - PREÇOS'!F23)/('INSUMOS - QUANTIDADES'!$G$225))</f>
        <v>0</v>
      </c>
      <c r="M197" s="47"/>
      <c r="N197" s="47"/>
    </row>
    <row r="198" spans="2:14" ht="18.95" customHeight="1">
      <c r="B198" s="8"/>
      <c r="C198" s="55"/>
      <c r="D198" s="55"/>
      <c r="E198" s="275" t="s">
        <v>280</v>
      </c>
      <c r="F198" s="337" t="str">
        <f>'INSUMOS - QUANTIDADES'!B231</f>
        <v>Equipamento 5</v>
      </c>
      <c r="G198" s="337"/>
      <c r="H198" s="338"/>
      <c r="I198" s="78">
        <f t="shared" si="0"/>
        <v>0</v>
      </c>
      <c r="J198" s="246" t="s">
        <v>279</v>
      </c>
      <c r="K198" s="86">
        <f>$I$198*(('INSUMOS - QUANTIDADES'!E253*'INSUMOS - PREÇOS'!F24)/('INSUMOS - QUANTIDADES'!$G$226))</f>
        <v>0</v>
      </c>
      <c r="M198" s="87"/>
    </row>
    <row r="199" spans="2:14" ht="18.95" customHeight="1">
      <c r="B199" s="8"/>
      <c r="C199" s="55"/>
      <c r="D199" s="55"/>
      <c r="E199" s="275" t="s">
        <v>281</v>
      </c>
      <c r="F199" s="337" t="str">
        <f>'INSUMOS - QUANTIDADES'!B232</f>
        <v>Equipamento 6</v>
      </c>
      <c r="G199" s="337"/>
      <c r="H199" s="338"/>
      <c r="I199" s="78">
        <f t="shared" si="0"/>
        <v>0</v>
      </c>
      <c r="J199" s="246" t="s">
        <v>279</v>
      </c>
      <c r="K199" s="86">
        <f>$I$199*(('INSUMOS - QUANTIDADES'!E253*'INSUMOS - PREÇOS'!F25)/('INSUMOS - QUANTIDADES'!$G$227))</f>
        <v>0</v>
      </c>
    </row>
    <row r="200" spans="2:14" ht="18.95" customHeight="1">
      <c r="B200" s="8"/>
      <c r="C200" s="55"/>
      <c r="D200" s="55"/>
      <c r="E200" s="275" t="s">
        <v>282</v>
      </c>
      <c r="F200" s="337" t="str">
        <f>'INSUMOS - QUANTIDADES'!B233</f>
        <v>Equipamento 7</v>
      </c>
      <c r="G200" s="337"/>
      <c r="H200" s="338"/>
      <c r="I200" s="78">
        <f t="shared" si="0"/>
        <v>0</v>
      </c>
      <c r="J200" s="246" t="s">
        <v>279</v>
      </c>
      <c r="K200" s="86">
        <f>$I$200*(('INSUMOS - QUANTIDADES'!E257*'INSUMOS - PREÇOS'!F26)/('INSUMOS - QUANTIDADES'!$G$224))</f>
        <v>0</v>
      </c>
    </row>
    <row r="201" spans="2:14" ht="18.95" customHeight="1">
      <c r="B201" s="8"/>
      <c r="C201" s="55"/>
      <c r="D201" s="55"/>
      <c r="E201" s="275" t="s">
        <v>283</v>
      </c>
      <c r="F201" s="337" t="str">
        <f>'INSUMOS - QUANTIDADES'!B234</f>
        <v>Equipamento 8</v>
      </c>
      <c r="G201" s="337"/>
      <c r="H201" s="338"/>
      <c r="I201" s="78">
        <f t="shared" si="0"/>
        <v>0</v>
      </c>
      <c r="J201" s="246" t="s">
        <v>279</v>
      </c>
      <c r="K201" s="86">
        <f>$I$201*(('INSUMOS - QUANTIDADES'!E257*'INSUMOS - PREÇOS'!F27)/('INSUMOS - QUANTIDADES'!$G$225))</f>
        <v>0</v>
      </c>
    </row>
    <row r="202" spans="2:14" ht="18.95" customHeight="1">
      <c r="B202" s="8"/>
      <c r="C202" s="55"/>
      <c r="D202" s="55"/>
      <c r="E202" s="275" t="s">
        <v>284</v>
      </c>
      <c r="F202" s="337" t="str">
        <f>'INSUMOS - QUANTIDADES'!B235</f>
        <v>Equipamento 9</v>
      </c>
      <c r="G202" s="337"/>
      <c r="H202" s="338"/>
      <c r="I202" s="78">
        <f t="shared" si="0"/>
        <v>0</v>
      </c>
      <c r="J202" s="246" t="s">
        <v>279</v>
      </c>
      <c r="K202" s="86">
        <f>$I$202*(('INSUMOS - QUANTIDADES'!E257*'INSUMOS - PREÇOS'!F28)/('INSUMOS - QUANTIDADES'!$G$226))</f>
        <v>0</v>
      </c>
    </row>
    <row r="203" spans="2:14" ht="18.95" customHeight="1">
      <c r="B203" s="8"/>
      <c r="C203" s="55"/>
      <c r="D203" s="55" t="s">
        <v>219</v>
      </c>
      <c r="E203" s="353" t="s">
        <v>285</v>
      </c>
      <c r="F203" s="353"/>
      <c r="G203" s="353"/>
      <c r="H203" s="354"/>
      <c r="I203" s="74"/>
      <c r="J203" s="74"/>
      <c r="K203" s="82"/>
    </row>
    <row r="204" spans="2:14" ht="18.95" customHeight="1">
      <c r="B204" s="8"/>
      <c r="C204" s="55"/>
      <c r="D204" s="55"/>
      <c r="E204" s="262" t="s">
        <v>221</v>
      </c>
      <c r="F204" s="277" t="s">
        <v>72</v>
      </c>
      <c r="G204" s="277"/>
      <c r="H204" s="335"/>
      <c r="I204" s="75">
        <f>'INSUMOS - QUANTIDADES'!$E$215</f>
        <v>306.17999999999995</v>
      </c>
      <c r="J204" s="61" t="s">
        <v>259</v>
      </c>
      <c r="K204" s="10">
        <f>((($I$204*'INSUMOS - PREÇOS'!F12)*'INSUMOS - QUANTIDADES'!E249)/'INSUMOS - QUANTIDADES'!$G$236)</f>
        <v>574.08749999999986</v>
      </c>
    </row>
    <row r="205" spans="2:14" ht="18.95" customHeight="1">
      <c r="B205" s="8"/>
      <c r="C205" s="55"/>
      <c r="D205" s="55"/>
      <c r="E205" s="262" t="s">
        <v>227</v>
      </c>
      <c r="F205" s="277" t="str">
        <f>'INSUMOS - PREÇOS'!C13</f>
        <v>Cercas - tipo 1</v>
      </c>
      <c r="G205" s="277"/>
      <c r="H205" s="335"/>
      <c r="I205" s="75">
        <f>'INSUMOS - QUANTIDADES'!E216</f>
        <v>0</v>
      </c>
      <c r="J205" s="61" t="s">
        <v>286</v>
      </c>
      <c r="K205" s="10">
        <f>(((I205*'INSUMOS - PREÇOS'!F13)*'INSUMOS - QUANTIDADES'!$E$250)/'INSUMOS - QUANTIDADES'!G237)</f>
        <v>0</v>
      </c>
      <c r="M205" s="87"/>
    </row>
    <row r="206" spans="2:14" ht="18.95" customHeight="1">
      <c r="B206" s="8"/>
      <c r="C206" s="55"/>
      <c r="D206" s="55"/>
      <c r="E206" s="262" t="s">
        <v>234</v>
      </c>
      <c r="F206" s="277" t="str">
        <f>'INSUMOS - PREÇOS'!C14</f>
        <v>Cercas - tipo 2</v>
      </c>
      <c r="G206" s="277"/>
      <c r="H206" s="335"/>
      <c r="I206" s="75">
        <f>'INSUMOS - QUANTIDADES'!E217</f>
        <v>0</v>
      </c>
      <c r="J206" s="61" t="s">
        <v>286</v>
      </c>
      <c r="K206" s="10">
        <f>(((I206*'INSUMOS - PREÇOS'!F14)*'INSUMOS - QUANTIDADES'!$E$250)/'INSUMOS - QUANTIDADES'!G238)</f>
        <v>0</v>
      </c>
      <c r="M206" s="87"/>
    </row>
    <row r="207" spans="2:14" ht="18.95" customHeight="1">
      <c r="B207" s="8"/>
      <c r="C207" s="55"/>
      <c r="D207" s="55"/>
      <c r="E207" s="262" t="s">
        <v>249</v>
      </c>
      <c r="F207" s="277" t="str">
        <f>'INSUMOS - PREÇOS'!C15</f>
        <v>Cercas - tipo 3</v>
      </c>
      <c r="G207" s="277"/>
      <c r="H207" s="335"/>
      <c r="I207" s="75">
        <f>'INSUMOS - QUANTIDADES'!E218</f>
        <v>0</v>
      </c>
      <c r="J207" s="61" t="s">
        <v>286</v>
      </c>
      <c r="K207" s="10">
        <f>(((I207*'INSUMOS - PREÇOS'!F15)*'INSUMOS - QUANTIDADES'!$E$250)/'INSUMOS - QUANTIDADES'!G239)</f>
        <v>0</v>
      </c>
      <c r="M207" s="87"/>
    </row>
    <row r="208" spans="2:14" ht="18.95" customHeight="1">
      <c r="B208" s="8"/>
      <c r="C208" s="55"/>
      <c r="D208" s="55" t="s">
        <v>268</v>
      </c>
      <c r="E208" s="353" t="s">
        <v>287</v>
      </c>
      <c r="F208" s="353"/>
      <c r="G208" s="353"/>
      <c r="H208" s="353"/>
      <c r="I208" s="56"/>
      <c r="J208" s="61"/>
      <c r="K208" s="10"/>
      <c r="M208" s="87"/>
    </row>
    <row r="209" spans="2:14" ht="18.95" customHeight="1">
      <c r="B209" s="8"/>
      <c r="C209" s="55"/>
      <c r="D209" s="55"/>
      <c r="E209" s="55" t="s">
        <v>288</v>
      </c>
      <c r="F209" s="277" t="s">
        <v>289</v>
      </c>
      <c r="G209" s="277"/>
      <c r="H209" s="277"/>
      <c r="I209" s="75">
        <f>'INSUMOS - QUANTIDADES'!$E$213</f>
        <v>15</v>
      </c>
      <c r="J209" s="61" t="s">
        <v>70</v>
      </c>
      <c r="K209" s="84"/>
      <c r="M209" s="87"/>
    </row>
    <row r="210" spans="2:14" ht="18.95" customHeight="1">
      <c r="B210" s="8"/>
      <c r="C210" s="55"/>
      <c r="D210" s="55"/>
      <c r="E210" s="55"/>
      <c r="F210" s="262" t="s">
        <v>222</v>
      </c>
      <c r="G210" s="277" t="s">
        <v>139</v>
      </c>
      <c r="H210" s="335"/>
      <c r="I210" s="75">
        <f>'INSUMOS - QUANTIDADES'!$E$257</f>
        <v>0</v>
      </c>
      <c r="J210" s="61" t="s">
        <v>290</v>
      </c>
      <c r="K210" s="10">
        <f>((($I$209*0.33)*(0.12*'INSUMOS - QUANTIDADES'!$C$223)*'INSUMOS - PREÇOS'!F46)*'INSUMOS - QUANTIDADES'!$F$257)+($I$210*'INSUMOS - PREÇOS'!F50)</f>
        <v>542.08440000000007</v>
      </c>
    </row>
    <row r="211" spans="2:14" ht="18.95" customHeight="1">
      <c r="B211" s="8"/>
      <c r="C211" s="55"/>
      <c r="D211" s="55"/>
      <c r="E211" s="55"/>
      <c r="F211" s="262" t="s">
        <v>223</v>
      </c>
      <c r="G211" s="277" t="s">
        <v>141</v>
      </c>
      <c r="H211" s="335"/>
      <c r="I211" s="75">
        <f>'INSUMOS - QUANTIDADES'!$E$258</f>
        <v>45</v>
      </c>
      <c r="J211" s="61" t="s">
        <v>290</v>
      </c>
      <c r="K211" s="10">
        <f>((($I$209*0.33)*(0.12*'INSUMOS - QUANTIDADES'!$C$223)*'INSUMOS - PREÇOS'!F46)*'INSUMOS - QUANTIDADES'!$F$258)+($I$211*'INSUMOS - PREÇOS'!F51)</f>
        <v>1665.3474000000001</v>
      </c>
    </row>
    <row r="212" spans="2:14" ht="18.95" customHeight="1">
      <c r="B212" s="8"/>
      <c r="C212" s="55"/>
      <c r="D212" s="55"/>
      <c r="E212" s="55"/>
      <c r="F212" s="262" t="s">
        <v>225</v>
      </c>
      <c r="G212" s="277" t="str">
        <f>'INSUMOS - QUANTIDADES'!B259</f>
        <v>Fertilizante 1</v>
      </c>
      <c r="H212" s="335"/>
      <c r="I212" s="75">
        <f>'INSUMOS - QUANTIDADES'!$E$259</f>
        <v>0</v>
      </c>
      <c r="J212" s="61" t="s">
        <v>290</v>
      </c>
      <c r="K212" s="10">
        <f>((($I$209*0.33)*(0.12*'INSUMOS - QUANTIDADES'!$C$223)*'INSUMOS - PREÇOS'!F46)*'INSUMOS - QUANTIDADES'!$F$259)+($I$212*'INSUMOS - PREÇOS'!F52)</f>
        <v>0</v>
      </c>
    </row>
    <row r="213" spans="2:14" ht="18.95" customHeight="1">
      <c r="B213" s="8"/>
      <c r="C213" s="55"/>
      <c r="D213" s="55"/>
      <c r="E213" s="55"/>
      <c r="F213" s="262" t="s">
        <v>226</v>
      </c>
      <c r="G213" s="262" t="str">
        <f>'INSUMOS - QUANTIDADES'!B260</f>
        <v>Fertilizante 2</v>
      </c>
      <c r="H213" s="262"/>
      <c r="I213" s="75">
        <f>'INSUMOS - QUANTIDADES'!$E$260</f>
        <v>0</v>
      </c>
      <c r="J213" s="61" t="s">
        <v>290</v>
      </c>
      <c r="K213" s="10">
        <f>((($I$209*0.33)*(0.12*'INSUMOS - QUANTIDADES'!$C$223)*'INSUMOS - PREÇOS'!F46)*'INSUMOS - QUANTIDADES'!$F$259)+($I$213*'INSUMOS - PREÇOS'!F53)</f>
        <v>0</v>
      </c>
    </row>
    <row r="214" spans="2:14" ht="18.95" customHeight="1">
      <c r="B214" s="8"/>
      <c r="C214" s="55"/>
      <c r="D214" s="55"/>
      <c r="E214" s="55"/>
      <c r="F214" s="262" t="s">
        <v>417</v>
      </c>
      <c r="G214" s="262" t="str">
        <f>'INSUMOS - QUANTIDADES'!B261</f>
        <v>Fertilizante 3</v>
      </c>
      <c r="H214" s="262"/>
      <c r="I214" s="75">
        <f>'INSUMOS - QUANTIDADES'!$E$261</f>
        <v>0</v>
      </c>
      <c r="J214" s="61" t="s">
        <v>290</v>
      </c>
      <c r="K214" s="10">
        <f>((($I$209*0.33)*(0.12*'INSUMOS - QUANTIDADES'!$C$223)*'INSUMOS - PREÇOS'!F46)*'INSUMOS - QUANTIDADES'!$F$259)+($I$214*'INSUMOS - PREÇOS'!F54)</f>
        <v>0</v>
      </c>
    </row>
    <row r="215" spans="2:14" ht="18.95" customHeight="1">
      <c r="B215" s="8"/>
      <c r="C215" s="55"/>
      <c r="D215" s="55"/>
      <c r="E215" s="55"/>
      <c r="F215" s="262" t="s">
        <v>418</v>
      </c>
      <c r="G215" s="262" t="str">
        <f>'INSUMOS - QUANTIDADES'!B262</f>
        <v>Herbicida 1</v>
      </c>
      <c r="H215" s="262"/>
      <c r="I215" s="75">
        <f>'INSUMOS - QUANTIDADES'!$E$262</f>
        <v>0</v>
      </c>
      <c r="J215" s="61" t="s">
        <v>414</v>
      </c>
      <c r="K215" s="10">
        <f>((($I$209*0.33)*(0.12*'INSUMOS - QUANTIDADES'!$C$223)*'INSUMOS - PREÇOS'!F46)*'INSUMOS - QUANTIDADES'!$F$259)+($I$215*'INSUMOS - PREÇOS'!F55)</f>
        <v>0</v>
      </c>
    </row>
    <row r="216" spans="2:14" ht="18.95" customHeight="1">
      <c r="B216" s="8"/>
      <c r="C216" s="55"/>
      <c r="D216" s="55"/>
      <c r="E216" s="55" t="s">
        <v>291</v>
      </c>
      <c r="F216" s="277" t="s">
        <v>107</v>
      </c>
      <c r="G216" s="277"/>
      <c r="H216" s="277"/>
      <c r="I216" s="75">
        <f>'INSUMOS - QUANTIDADES'!$E$214</f>
        <v>0</v>
      </c>
      <c r="J216" s="61" t="s">
        <v>70</v>
      </c>
      <c r="K216" s="91"/>
    </row>
    <row r="217" spans="2:14" ht="18.95" customHeight="1">
      <c r="B217" s="8"/>
      <c r="C217" s="55"/>
      <c r="D217" s="55"/>
      <c r="E217" s="55"/>
      <c r="F217" s="262" t="s">
        <v>228</v>
      </c>
      <c r="G217" s="277" t="s">
        <v>139</v>
      </c>
      <c r="H217" s="335"/>
      <c r="I217" s="75">
        <f>'INSUMOS - QUANTIDADES'!$E$264</f>
        <v>0</v>
      </c>
      <c r="J217" s="61" t="s">
        <v>290</v>
      </c>
      <c r="K217" s="10">
        <f>((($I$216*0.33)*(0.12*'INSUMOS - QUANTIDADES'!$C$223)*'INSUMOS - PREÇOS'!F46)*'INSUMOS - QUANTIDADES'!$F$264)+($I$217*'INSUMOS - PREÇOS'!F50)</f>
        <v>0</v>
      </c>
    </row>
    <row r="218" spans="2:14" ht="18.95" customHeight="1">
      <c r="B218" s="8"/>
      <c r="C218" s="55"/>
      <c r="D218" s="55"/>
      <c r="E218" s="55"/>
      <c r="F218" s="262" t="s">
        <v>229</v>
      </c>
      <c r="G218" s="277" t="s">
        <v>141</v>
      </c>
      <c r="H218" s="335"/>
      <c r="I218" s="75">
        <f>'INSUMOS - QUANTIDADES'!$E$265</f>
        <v>0</v>
      </c>
      <c r="J218" s="61" t="s">
        <v>290</v>
      </c>
      <c r="K218" s="10">
        <f>((($I$216*0.33)*(0.12*'INSUMOS - QUANTIDADES'!$C$223)*'INSUMOS - PREÇOS'!F46)*'INSUMOS - QUANTIDADES'!$F$265)+($I$218*'INSUMOS - PREÇOS'!F51)</f>
        <v>0</v>
      </c>
    </row>
    <row r="219" spans="2:14" ht="18.95" customHeight="1">
      <c r="B219" s="8"/>
      <c r="C219" s="55"/>
      <c r="D219" s="55"/>
      <c r="E219" s="55"/>
      <c r="F219" s="262" t="s">
        <v>230</v>
      </c>
      <c r="G219" s="277" t="str">
        <f>'INSUMOS - QUANTIDADES'!B266</f>
        <v>Fertilizante 4</v>
      </c>
      <c r="H219" s="335"/>
      <c r="I219" s="75">
        <f>'INSUMOS - QUANTIDADES'!$E$266</f>
        <v>0</v>
      </c>
      <c r="J219" s="61" t="s">
        <v>290</v>
      </c>
      <c r="K219" s="10">
        <f>((($I$216*0.33)*(0.12*'INSUMOS - QUANTIDADES'!$C$223)*'INSUMOS - PREÇOS'!F46)*'INSUMOS - QUANTIDADES'!$F$266)+($I$219*'INSUMOS - PREÇOS'!F55)</f>
        <v>0</v>
      </c>
    </row>
    <row r="220" spans="2:14" ht="18.95" customHeight="1">
      <c r="B220" s="8"/>
      <c r="C220" s="55"/>
      <c r="D220" s="55"/>
      <c r="E220" s="55"/>
      <c r="F220" s="262" t="s">
        <v>231</v>
      </c>
      <c r="G220" s="262" t="str">
        <f>'INSUMOS - QUANTIDADES'!B267</f>
        <v>Fertilizante 5</v>
      </c>
      <c r="H220" s="271"/>
      <c r="I220" s="75">
        <f>'INSUMOS - QUANTIDADES'!$E$267</f>
        <v>0</v>
      </c>
      <c r="J220" s="61" t="s">
        <v>290</v>
      </c>
      <c r="K220" s="10">
        <f>((($I$216*0.33)*(0.12*'INSUMOS - QUANTIDADES'!$C$223)*'INSUMOS - PREÇOS'!F46)*'INSUMOS - QUANTIDADES'!$F$266)+($I$220*'INSUMOS - PREÇOS'!F56)</f>
        <v>0</v>
      </c>
    </row>
    <row r="221" spans="2:14" s="48" customFormat="1" ht="18.95" customHeight="1">
      <c r="B221" s="8"/>
      <c r="C221" s="55"/>
      <c r="D221" s="55"/>
      <c r="E221" s="55"/>
      <c r="F221" s="262" t="s">
        <v>232</v>
      </c>
      <c r="G221" s="262" t="str">
        <f>'INSUMOS - QUANTIDADES'!B268</f>
        <v>Fertilizante 6</v>
      </c>
      <c r="H221" s="271"/>
      <c r="I221" s="75">
        <f>'INSUMOS - QUANTIDADES'!$E$268</f>
        <v>0</v>
      </c>
      <c r="J221" s="61" t="s">
        <v>290</v>
      </c>
      <c r="K221" s="10">
        <f>((($I$216*0.33)*(0.12*'INSUMOS - QUANTIDADES'!$C$223)*'INSUMOS - PREÇOS'!F46)*'INSUMOS - QUANTIDADES'!$F$266)+($I$221*'INSUMOS - PREÇOS'!F57)</f>
        <v>0</v>
      </c>
      <c r="M221" s="1"/>
      <c r="N221" s="1"/>
    </row>
    <row r="222" spans="2:14" s="48" customFormat="1" ht="18.95" customHeight="1">
      <c r="B222" s="8"/>
      <c r="C222" s="55"/>
      <c r="D222" s="55"/>
      <c r="E222" s="55"/>
      <c r="F222" s="262" t="s">
        <v>419</v>
      </c>
      <c r="G222" s="262" t="str">
        <f>'INSUMOS - QUANTIDADES'!B269</f>
        <v>Herbicida 2</v>
      </c>
      <c r="H222" s="271"/>
      <c r="I222" s="75">
        <f>'INSUMOS - QUANTIDADES'!$E$269</f>
        <v>0</v>
      </c>
      <c r="J222" s="61" t="s">
        <v>414</v>
      </c>
      <c r="K222" s="10">
        <f>((($I$216*0.33)*(0.12*'INSUMOS - QUANTIDADES'!$C$223)*'INSUMOS - PREÇOS'!F46)*'INSUMOS - QUANTIDADES'!$F$266)+($I$222*'INSUMOS - PREÇOS'!F59)</f>
        <v>0</v>
      </c>
      <c r="M222" s="1"/>
      <c r="N222" s="1"/>
    </row>
    <row r="223" spans="2:14" ht="18.95" customHeight="1">
      <c r="B223" s="8"/>
      <c r="C223" s="55"/>
      <c r="D223" s="329" t="s">
        <v>292</v>
      </c>
      <c r="E223" s="329"/>
      <c r="F223" s="329"/>
      <c r="G223" s="329"/>
      <c r="H223" s="330"/>
      <c r="I223" s="56"/>
      <c r="J223" s="61"/>
      <c r="K223" s="60">
        <f>SUM(K191:K222)</f>
        <v>3535.8317999999999</v>
      </c>
      <c r="M223" s="87"/>
    </row>
    <row r="224" spans="2:14" ht="18.95" customHeight="1">
      <c r="B224" s="8"/>
      <c r="C224" s="55"/>
      <c r="D224" s="55"/>
      <c r="E224" s="275"/>
      <c r="F224" s="275"/>
      <c r="G224" s="275"/>
      <c r="H224" s="275"/>
      <c r="I224" s="77"/>
      <c r="J224" s="61"/>
      <c r="K224" s="10"/>
      <c r="M224" s="48"/>
      <c r="N224" s="48"/>
    </row>
    <row r="225" spans="2:14" ht="18.95" customHeight="1">
      <c r="B225" s="52"/>
      <c r="C225" s="53" t="s">
        <v>293</v>
      </c>
      <c r="D225" s="329" t="s">
        <v>294</v>
      </c>
      <c r="E225" s="329"/>
      <c r="F225" s="329"/>
      <c r="G225" s="329"/>
      <c r="H225" s="330"/>
      <c r="I225" s="77"/>
      <c r="J225" s="61"/>
      <c r="K225" s="10"/>
      <c r="M225" s="48"/>
      <c r="N225" s="48"/>
    </row>
    <row r="226" spans="2:14" ht="18.95" customHeight="1">
      <c r="B226" s="52"/>
      <c r="C226" s="53"/>
      <c r="D226" s="55" t="s">
        <v>172</v>
      </c>
      <c r="E226" s="353" t="str">
        <f>'INSUMOS - PREÇOS'!C106</f>
        <v>Abastecimento de farmácia</v>
      </c>
      <c r="F226" s="353"/>
      <c r="G226" s="353"/>
      <c r="H226" s="354"/>
      <c r="I226" s="343"/>
      <c r="J226" s="79" t="s">
        <v>156</v>
      </c>
      <c r="K226" s="10">
        <f>'INSUMOS - PREÇOS'!F106*12</f>
        <v>600</v>
      </c>
    </row>
    <row r="227" spans="2:14" ht="18.95" customHeight="1">
      <c r="B227" s="52"/>
      <c r="C227" s="53"/>
      <c r="D227" s="55" t="s">
        <v>219</v>
      </c>
      <c r="E227" s="353" t="str">
        <f>'INSUMOS - PREÇOS'!C107</f>
        <v>Custo eventual fixo - 1</v>
      </c>
      <c r="F227" s="353"/>
      <c r="G227" s="353"/>
      <c r="H227" s="354"/>
      <c r="I227" s="77"/>
      <c r="J227" s="79" t="s">
        <v>156</v>
      </c>
      <c r="K227" s="10">
        <f>'INSUMOS - PREÇOS'!F107*12</f>
        <v>0</v>
      </c>
    </row>
    <row r="228" spans="2:14" ht="18.95" customHeight="1">
      <c r="B228" s="52"/>
      <c r="C228" s="53"/>
      <c r="D228" s="55" t="s">
        <v>268</v>
      </c>
      <c r="E228" s="353" t="str">
        <f>'INSUMOS - PREÇOS'!C108</f>
        <v>Custo eventual fixo - 2</v>
      </c>
      <c r="F228" s="353"/>
      <c r="G228" s="353"/>
      <c r="H228" s="354"/>
      <c r="I228" s="77"/>
      <c r="J228" s="79" t="s">
        <v>156</v>
      </c>
      <c r="K228" s="10">
        <f>'INSUMOS - PREÇOS'!F108*12</f>
        <v>0</v>
      </c>
    </row>
    <row r="229" spans="2:14" ht="18.95" customHeight="1">
      <c r="B229" s="8"/>
      <c r="C229" s="55"/>
      <c r="D229" s="55" t="s">
        <v>271</v>
      </c>
      <c r="E229" s="355" t="s">
        <v>239</v>
      </c>
      <c r="F229" s="355"/>
      <c r="G229" s="355"/>
      <c r="H229" s="355"/>
      <c r="I229" s="221"/>
      <c r="J229" s="79" t="s">
        <v>156</v>
      </c>
      <c r="K229" s="10">
        <f>'INSUMOS - PREÇOS'!F117</f>
        <v>100</v>
      </c>
    </row>
    <row r="230" spans="2:14" ht="18.95" customHeight="1">
      <c r="B230" s="8"/>
      <c r="C230" s="55"/>
      <c r="D230" s="55" t="s">
        <v>460</v>
      </c>
      <c r="E230" s="355" t="s">
        <v>240</v>
      </c>
      <c r="F230" s="355"/>
      <c r="G230" s="355"/>
      <c r="H230" s="358"/>
      <c r="I230" s="221"/>
      <c r="J230" s="79" t="s">
        <v>156</v>
      </c>
      <c r="K230" s="10">
        <f>'INSUMOS - PREÇOS'!F118</f>
        <v>0</v>
      </c>
    </row>
    <row r="231" spans="2:14" ht="18.95" customHeight="1">
      <c r="B231" s="8"/>
      <c r="C231" s="55"/>
      <c r="D231" s="329" t="s">
        <v>295</v>
      </c>
      <c r="E231" s="329"/>
      <c r="F231" s="329"/>
      <c r="G231" s="329"/>
      <c r="H231" s="330"/>
      <c r="I231" s="77"/>
      <c r="J231" s="85"/>
      <c r="K231" s="60">
        <f>SUM(K226:K230)</f>
        <v>700</v>
      </c>
    </row>
    <row r="232" spans="2:14" ht="18.95" customHeight="1">
      <c r="B232" s="8"/>
      <c r="C232" s="53"/>
      <c r="D232" s="53"/>
      <c r="E232" s="272"/>
      <c r="F232" s="272"/>
      <c r="G232" s="272"/>
      <c r="H232" s="272"/>
      <c r="I232" s="77"/>
      <c r="J232" s="85"/>
      <c r="K232" s="60"/>
    </row>
    <row r="233" spans="2:14" ht="18.95" customHeight="1" thickBot="1">
      <c r="B233" s="8"/>
      <c r="C233" s="331" t="s">
        <v>296</v>
      </c>
      <c r="D233" s="331"/>
      <c r="E233" s="331"/>
      <c r="F233" s="331"/>
      <c r="G233" s="331"/>
      <c r="H233" s="331"/>
      <c r="I233" s="77"/>
      <c r="J233" s="85"/>
      <c r="K233" s="60">
        <f>SUM(K158,K164,K187,K223,K231)</f>
        <v>23233.601466666667</v>
      </c>
    </row>
    <row r="234" spans="2:14" ht="18.95" customHeight="1" thickBot="1">
      <c r="B234" s="3" t="s">
        <v>297</v>
      </c>
      <c r="C234" s="332" t="s">
        <v>298</v>
      </c>
      <c r="D234" s="332"/>
      <c r="E234" s="332"/>
      <c r="F234" s="332"/>
      <c r="G234" s="332"/>
      <c r="H234" s="332"/>
      <c r="I234" s="51"/>
      <c r="J234" s="257"/>
      <c r="K234" s="92">
        <f>SUM(K143,K233)</f>
        <v>134732.69382762667</v>
      </c>
    </row>
    <row r="235" spans="2:14" ht="18.95" customHeight="1">
      <c r="B235" s="52"/>
      <c r="C235" s="53" t="s">
        <v>299</v>
      </c>
      <c r="D235" s="329" t="s">
        <v>300</v>
      </c>
      <c r="E235" s="329"/>
      <c r="F235" s="329"/>
      <c r="G235" s="329"/>
      <c r="H235" s="329"/>
      <c r="I235" s="54"/>
      <c r="J235" s="59"/>
      <c r="K235" s="60"/>
    </row>
    <row r="236" spans="2:14" ht="18.95" customHeight="1">
      <c r="B236" s="8"/>
      <c r="C236" s="55"/>
      <c r="D236" s="55" t="s">
        <v>172</v>
      </c>
      <c r="E236" s="353" t="s">
        <v>301</v>
      </c>
      <c r="F236" s="353"/>
      <c r="G236" s="353"/>
      <c r="H236" s="354"/>
      <c r="I236" s="56"/>
      <c r="J236" s="61"/>
      <c r="K236" s="10"/>
    </row>
    <row r="237" spans="2:14" ht="18.95" customHeight="1">
      <c r="B237" s="8"/>
      <c r="C237" s="55"/>
      <c r="D237" s="55"/>
      <c r="E237" s="262" t="s">
        <v>175</v>
      </c>
      <c r="F237" s="277" t="s">
        <v>302</v>
      </c>
      <c r="G237" s="277"/>
      <c r="H237" s="335"/>
      <c r="I237" s="56"/>
      <c r="J237" s="61"/>
      <c r="K237" s="10">
        <f>(($I$168*'INSUMOS - PREÇOS'!F12)*'INSUMOS - PREÇOS'!F119)</f>
        <v>4101.2045549999993</v>
      </c>
    </row>
    <row r="238" spans="2:14" ht="18.95" customHeight="1">
      <c r="B238" s="8"/>
      <c r="C238" s="55"/>
      <c r="D238" s="55"/>
      <c r="E238" s="88" t="s">
        <v>197</v>
      </c>
      <c r="F238" s="277" t="s">
        <v>303</v>
      </c>
      <c r="G238" s="277"/>
      <c r="H238" s="335"/>
      <c r="I238" s="56"/>
      <c r="J238" s="61"/>
      <c r="K238" s="10">
        <f>((($I$169*'INSUMOS - PREÇOS'!F13)+(I170*'INSUMOS - PREÇOS'!F14)+('CUSTOS ANUAIS'!I171*'INSUMOS - PREÇOS'!F15))*'INSUMOS - PREÇOS'!F119)</f>
        <v>0</v>
      </c>
    </row>
    <row r="239" spans="2:14" ht="18.95" customHeight="1">
      <c r="B239" s="8"/>
      <c r="C239" s="55"/>
      <c r="D239" s="55"/>
      <c r="E239" s="88" t="s">
        <v>209</v>
      </c>
      <c r="F239" s="277" t="s">
        <v>304</v>
      </c>
      <c r="G239" s="277"/>
      <c r="H239" s="335"/>
      <c r="I239" s="77"/>
      <c r="J239" s="85"/>
      <c r="K239" s="10">
        <f>(SUM('INSUMOS - PREÇOS'!F17:F28))*'INSUMOS - PREÇOS'!F119</f>
        <v>1734.6201250000001</v>
      </c>
    </row>
    <row r="240" spans="2:14" ht="18.95" customHeight="1">
      <c r="B240" s="8"/>
      <c r="C240" s="55"/>
      <c r="D240" s="55"/>
      <c r="E240" s="48" t="s">
        <v>246</v>
      </c>
      <c r="F240" s="277" t="s">
        <v>305</v>
      </c>
      <c r="G240" s="277"/>
      <c r="H240" s="335"/>
      <c r="I240" s="56"/>
      <c r="J240" s="93"/>
      <c r="K240" s="10">
        <f>(('INSUMOS - PREÇOS'!F31*$N$12)*'INSUMOS - PREÇOS'!F119)</f>
        <v>401.84250000000003</v>
      </c>
    </row>
    <row r="241" spans="2:11" ht="18.95" customHeight="1">
      <c r="B241" s="8"/>
      <c r="C241" s="55"/>
      <c r="D241" s="55"/>
      <c r="E241" s="48" t="s">
        <v>247</v>
      </c>
      <c r="F241" s="277" t="s">
        <v>306</v>
      </c>
      <c r="G241" s="277"/>
      <c r="H241" s="335"/>
      <c r="I241" s="56"/>
      <c r="J241" s="93"/>
      <c r="K241" s="10">
        <f>(('INSUMOS - PREÇOS'!F32*$N$15)*'INSUMOS - PREÇOS'!F119)</f>
        <v>0</v>
      </c>
    </row>
    <row r="242" spans="2:11" ht="18.95" customHeight="1">
      <c r="B242" s="8"/>
      <c r="C242" s="55"/>
      <c r="D242" s="55" t="s">
        <v>219</v>
      </c>
      <c r="E242" s="356" t="s">
        <v>307</v>
      </c>
      <c r="F242" s="356"/>
      <c r="G242" s="356"/>
      <c r="H242" s="357"/>
      <c r="I242" s="56"/>
      <c r="J242" s="93"/>
      <c r="K242" s="10">
        <f>$K$133*'INSUMOS - PREÇOS'!F120</f>
        <v>5941.8624696078768</v>
      </c>
    </row>
    <row r="243" spans="2:11" ht="18.95" customHeight="1">
      <c r="B243" s="8"/>
      <c r="C243" s="55"/>
      <c r="D243" s="55" t="s">
        <v>268</v>
      </c>
      <c r="E243" s="356" t="s">
        <v>308</v>
      </c>
      <c r="F243" s="356"/>
      <c r="G243" s="356"/>
      <c r="H243" s="356"/>
      <c r="I243" s="89">
        <f>I216</f>
        <v>0</v>
      </c>
      <c r="J243" s="93" t="s">
        <v>70</v>
      </c>
      <c r="K243" s="10">
        <f>($I$243*'INSUMOS - PREÇOS'!F104)</f>
        <v>0</v>
      </c>
    </row>
    <row r="244" spans="2:11" ht="18.95" customHeight="1">
      <c r="B244" s="8"/>
      <c r="C244" s="55"/>
      <c r="D244" s="329" t="s">
        <v>309</v>
      </c>
      <c r="E244" s="329"/>
      <c r="F244" s="329"/>
      <c r="G244" s="329"/>
      <c r="H244" s="330"/>
      <c r="I244" s="56"/>
      <c r="J244" s="93"/>
      <c r="K244" s="60">
        <f>SUM(K237:K243)</f>
        <v>12179.529649607877</v>
      </c>
    </row>
    <row r="245" spans="2:11" ht="18.95" customHeight="1" thickBot="1">
      <c r="B245" s="8"/>
      <c r="C245" s="55"/>
      <c r="D245" s="362"/>
      <c r="E245" s="274"/>
      <c r="F245" s="274"/>
      <c r="G245" s="274"/>
      <c r="H245" s="274"/>
      <c r="I245" s="56"/>
      <c r="J245" s="93"/>
      <c r="K245" s="60"/>
    </row>
    <row r="246" spans="2:11" ht="18.95" customHeight="1" thickBot="1">
      <c r="B246" s="3" t="s">
        <v>310</v>
      </c>
      <c r="C246" s="332" t="s">
        <v>311</v>
      </c>
      <c r="D246" s="332"/>
      <c r="E246" s="332"/>
      <c r="F246" s="332"/>
      <c r="G246" s="332"/>
      <c r="H246" s="332"/>
      <c r="I246" s="257"/>
      <c r="J246" s="257"/>
      <c r="K246" s="94">
        <f>(SUM(K234,K244))-K131</f>
        <v>112688.22347723454</v>
      </c>
    </row>
    <row r="247" spans="2:11" ht="18.95" customHeight="1" thickBot="1">
      <c r="B247" s="3"/>
      <c r="C247" s="332" t="s">
        <v>403</v>
      </c>
      <c r="D247" s="332"/>
      <c r="E247" s="332"/>
      <c r="F247" s="332"/>
      <c r="G247" s="332"/>
      <c r="H247" s="332"/>
      <c r="I247" s="332"/>
      <c r="J247" s="332"/>
      <c r="K247" s="94">
        <f>SUM(LUCRATIVIDADE!E11,LUCRATIVIDADE!E14,LUCRATIVIDADE!E17:E21)</f>
        <v>0</v>
      </c>
    </row>
    <row r="248" spans="2:11" ht="18.95" customHeight="1" thickBot="1">
      <c r="B248" s="90"/>
      <c r="C248" s="332" t="s">
        <v>552</v>
      </c>
      <c r="D248" s="332"/>
      <c r="E248" s="332"/>
      <c r="F248" s="332"/>
      <c r="G248" s="332"/>
      <c r="H248" s="332"/>
      <c r="I248" s="270"/>
      <c r="J248" s="270"/>
      <c r="K248" s="95">
        <f>(K246-K247)/$N$13</f>
        <v>276.03425307964568</v>
      </c>
    </row>
    <row r="249" spans="2:11" ht="18.95" customHeight="1" thickBot="1">
      <c r="B249" s="90"/>
      <c r="C249" s="332" t="s">
        <v>553</v>
      </c>
      <c r="D249" s="332"/>
      <c r="E249" s="332"/>
      <c r="F249" s="332"/>
      <c r="G249" s="332"/>
      <c r="H249" s="332"/>
      <c r="I249" s="270"/>
      <c r="J249" s="270"/>
      <c r="K249" s="95">
        <f>(K246-K247)/($N$13*$N$22)</f>
        <v>6.9008563269911418</v>
      </c>
    </row>
    <row r="250" spans="2:11" ht="18.95" customHeight="1" thickBot="1">
      <c r="B250" s="90"/>
      <c r="C250" s="332" t="s">
        <v>554</v>
      </c>
      <c r="D250" s="332"/>
      <c r="E250" s="332"/>
      <c r="F250" s="332"/>
      <c r="G250" s="332"/>
      <c r="H250" s="332"/>
      <c r="I250" s="270"/>
      <c r="J250" s="270"/>
      <c r="K250" s="95">
        <f>(K249/$N$24)</f>
        <v>14.37678401456488</v>
      </c>
    </row>
    <row r="251" spans="2:11" ht="18.95" customHeight="1" thickBot="1">
      <c r="B251" s="347"/>
      <c r="C251" s="347"/>
      <c r="D251" s="363"/>
      <c r="E251" s="347"/>
      <c r="F251" s="347"/>
      <c r="G251" s="347"/>
      <c r="H251" s="347"/>
      <c r="I251" s="347"/>
      <c r="J251" s="347"/>
      <c r="K251" s="348"/>
    </row>
    <row r="252" spans="2:11" ht="18.95" customHeight="1" thickBot="1">
      <c r="B252" s="90"/>
      <c r="C252" s="332" t="s">
        <v>467</v>
      </c>
      <c r="D252" s="332"/>
      <c r="E252" s="332"/>
      <c r="F252" s="332"/>
      <c r="G252" s="332"/>
      <c r="H252" s="332"/>
      <c r="I252" s="332"/>
      <c r="J252" s="332"/>
      <c r="K252" s="346">
        <f>((K123+K124+K125)/('INSUMOS - QUANTIDADES'!F285*'CUSTOS ANUAIS'!N22*'CUSTOS ANUAIS'!N24))+'CUSTOS ANUAIS'!K250</f>
        <v>22.50178401456488</v>
      </c>
    </row>
    <row r="253" spans="2:11" ht="18.95" customHeight="1" thickBot="1">
      <c r="B253" s="90"/>
      <c r="C253" s="332" t="s">
        <v>468</v>
      </c>
      <c r="D253" s="332"/>
      <c r="E253" s="332"/>
      <c r="F253" s="332"/>
      <c r="G253" s="332"/>
      <c r="H253" s="332"/>
      <c r="I253" s="349" t="str">
        <f>'INSUMOS - QUANTIDADES'!D286</f>
        <v>Linguiça</v>
      </c>
      <c r="J253" s="349"/>
      <c r="K253" s="346">
        <f>K252+'INSUMOS - PREÇOS'!F98</f>
        <v>32.501784014564876</v>
      </c>
    </row>
    <row r="254" spans="2:11" ht="18.95" customHeight="1" thickBot="1">
      <c r="B254" s="90"/>
      <c r="C254" s="332" t="s">
        <v>468</v>
      </c>
      <c r="D254" s="332"/>
      <c r="E254" s="332"/>
      <c r="F254" s="332"/>
      <c r="G254" s="332"/>
      <c r="H254" s="332"/>
      <c r="I254" s="349" t="str">
        <f>'INSUMOS - QUANTIDADES'!D287</f>
        <v>Hambúrguer</v>
      </c>
      <c r="J254" s="349"/>
      <c r="K254" s="346">
        <f>K252+'INSUMOS - PREÇOS'!F99</f>
        <v>22.50178401456488</v>
      </c>
    </row>
    <row r="255" spans="2:11" ht="18.95" customHeight="1" thickBot="1">
      <c r="B255" s="90"/>
      <c r="C255" s="332" t="s">
        <v>468</v>
      </c>
      <c r="D255" s="332"/>
      <c r="E255" s="332"/>
      <c r="F255" s="332"/>
      <c r="G255" s="332"/>
      <c r="H255" s="332"/>
      <c r="I255" s="349" t="str">
        <f>'INSUMOS - QUANTIDADES'!D288</f>
        <v>Outro 1</v>
      </c>
      <c r="J255" s="349"/>
      <c r="K255" s="346">
        <f>K252+'INSUMOS - PREÇOS'!F100</f>
        <v>22.50178401456488</v>
      </c>
    </row>
    <row r="256" spans="2:11" ht="18.95" customHeight="1" thickBot="1">
      <c r="B256" s="90"/>
      <c r="C256" s="332" t="s">
        <v>468</v>
      </c>
      <c r="D256" s="332"/>
      <c r="E256" s="332"/>
      <c r="F256" s="332"/>
      <c r="G256" s="332"/>
      <c r="H256" s="332"/>
      <c r="I256" s="349" t="str">
        <f>'INSUMOS - QUANTIDADES'!D289</f>
        <v>Outro 2</v>
      </c>
      <c r="J256" s="349"/>
      <c r="K256" s="346">
        <f>K252+'INSUMOS - PREÇOS'!F101</f>
        <v>22.50178401456488</v>
      </c>
    </row>
    <row r="257" spans="2:11" ht="18.95" customHeight="1" thickBot="1">
      <c r="B257" s="90"/>
      <c r="C257" s="332" t="s">
        <v>468</v>
      </c>
      <c r="D257" s="332"/>
      <c r="E257" s="332"/>
      <c r="F257" s="332"/>
      <c r="G257" s="332"/>
      <c r="H257" s="332"/>
      <c r="I257" s="349" t="str">
        <f>'INSUMOS - PREÇOS'!C102</f>
        <v>Outro 3</v>
      </c>
      <c r="J257" s="349"/>
      <c r="K257" s="346">
        <f>K252+'INSUMOS - PREÇOS'!F102</f>
        <v>22.50178401456488</v>
      </c>
    </row>
    <row r="258" spans="2:11" ht="18.95" customHeight="1">
      <c r="C258" s="307"/>
      <c r="D258" s="307"/>
      <c r="E258" s="307"/>
      <c r="F258" s="307"/>
      <c r="G258" s="307"/>
      <c r="H258" s="307"/>
    </row>
  </sheetData>
  <sheetProtection password="D2B3" sheet="1" objects="1" scenarios="1" selectLockedCells="1"/>
  <mergeCells count="193">
    <mergeCell ref="G84:H84"/>
    <mergeCell ref="G85:H85"/>
    <mergeCell ref="G86:H86"/>
    <mergeCell ref="G87:H87"/>
    <mergeCell ref="G88:H88"/>
    <mergeCell ref="G89:H89"/>
    <mergeCell ref="G90:H90"/>
    <mergeCell ref="G91:H91"/>
    <mergeCell ref="G130:H130"/>
    <mergeCell ref="G129:H129"/>
    <mergeCell ref="G128:H128"/>
    <mergeCell ref="G127:H127"/>
    <mergeCell ref="C246:H246"/>
    <mergeCell ref="C248:H248"/>
    <mergeCell ref="C249:H249"/>
    <mergeCell ref="C250:H250"/>
    <mergeCell ref="C258:H258"/>
    <mergeCell ref="F239:H239"/>
    <mergeCell ref="F240:H240"/>
    <mergeCell ref="F241:H241"/>
    <mergeCell ref="E242:H242"/>
    <mergeCell ref="E243:H243"/>
    <mergeCell ref="D244:H244"/>
    <mergeCell ref="C247:J247"/>
    <mergeCell ref="C252:J252"/>
    <mergeCell ref="C253:H253"/>
    <mergeCell ref="C254:H254"/>
    <mergeCell ref="C255:H255"/>
    <mergeCell ref="C256:H256"/>
    <mergeCell ref="C257:H257"/>
    <mergeCell ref="C233:H233"/>
    <mergeCell ref="C234:H234"/>
    <mergeCell ref="D235:H235"/>
    <mergeCell ref="E236:H236"/>
    <mergeCell ref="F237:H237"/>
    <mergeCell ref="F238:H238"/>
    <mergeCell ref="G219:H219"/>
    <mergeCell ref="D223:H223"/>
    <mergeCell ref="D225:H225"/>
    <mergeCell ref="E229:H229"/>
    <mergeCell ref="E230:H230"/>
    <mergeCell ref="D231:H231"/>
    <mergeCell ref="E226:H226"/>
    <mergeCell ref="E227:H227"/>
    <mergeCell ref="E228:H228"/>
    <mergeCell ref="G210:H210"/>
    <mergeCell ref="G211:H211"/>
    <mergeCell ref="G212:H212"/>
    <mergeCell ref="F216:H216"/>
    <mergeCell ref="G217:H217"/>
    <mergeCell ref="G218:H218"/>
    <mergeCell ref="F202:H202"/>
    <mergeCell ref="E203:H203"/>
    <mergeCell ref="F204:H204"/>
    <mergeCell ref="F205:H205"/>
    <mergeCell ref="E208:H208"/>
    <mergeCell ref="F209:H209"/>
    <mergeCell ref="F206:H206"/>
    <mergeCell ref="F207:H207"/>
    <mergeCell ref="F196:H196"/>
    <mergeCell ref="F197:H197"/>
    <mergeCell ref="F198:H198"/>
    <mergeCell ref="F199:H199"/>
    <mergeCell ref="F200:H200"/>
    <mergeCell ref="F201:H201"/>
    <mergeCell ref="E190:H190"/>
    <mergeCell ref="F191:H191"/>
    <mergeCell ref="F192:H192"/>
    <mergeCell ref="F193:H193"/>
    <mergeCell ref="F194:H194"/>
    <mergeCell ref="F195:H195"/>
    <mergeCell ref="F183:H183"/>
    <mergeCell ref="F184:H184"/>
    <mergeCell ref="E185:H185"/>
    <mergeCell ref="E186:H186"/>
    <mergeCell ref="D187:H187"/>
    <mergeCell ref="D189:H189"/>
    <mergeCell ref="F177:H177"/>
    <mergeCell ref="F178:H178"/>
    <mergeCell ref="F179:H179"/>
    <mergeCell ref="F180:H180"/>
    <mergeCell ref="F181:H181"/>
    <mergeCell ref="F182:H182"/>
    <mergeCell ref="F175:H175"/>
    <mergeCell ref="F176:H176"/>
    <mergeCell ref="E161:H161"/>
    <mergeCell ref="E163:H163"/>
    <mergeCell ref="D164:H164"/>
    <mergeCell ref="D166:H166"/>
    <mergeCell ref="E167:H167"/>
    <mergeCell ref="F168:H168"/>
    <mergeCell ref="E162:H162"/>
    <mergeCell ref="F169:H169"/>
    <mergeCell ref="E172:H172"/>
    <mergeCell ref="F173:H173"/>
    <mergeCell ref="F174:H174"/>
    <mergeCell ref="F170:H170"/>
    <mergeCell ref="F171:H171"/>
    <mergeCell ref="F157:H157"/>
    <mergeCell ref="D158:H158"/>
    <mergeCell ref="D160:H160"/>
    <mergeCell ref="G113:H113"/>
    <mergeCell ref="F114:H114"/>
    <mergeCell ref="D133:H133"/>
    <mergeCell ref="D135:H135"/>
    <mergeCell ref="E139:H139"/>
    <mergeCell ref="E140:H140"/>
    <mergeCell ref="E116:H116"/>
    <mergeCell ref="F120:H120"/>
    <mergeCell ref="F117:H117"/>
    <mergeCell ref="F118:H118"/>
    <mergeCell ref="F119:H119"/>
    <mergeCell ref="E122:H122"/>
    <mergeCell ref="F123:H123"/>
    <mergeCell ref="F124:H124"/>
    <mergeCell ref="F125:H125"/>
    <mergeCell ref="F126:H126"/>
    <mergeCell ref="F131:H131"/>
    <mergeCell ref="E138:H138"/>
    <mergeCell ref="E136:H136"/>
    <mergeCell ref="E137:H137"/>
    <mergeCell ref="G102:H102"/>
    <mergeCell ref="F103:H103"/>
    <mergeCell ref="G104:H104"/>
    <mergeCell ref="G107:H107"/>
    <mergeCell ref="G111:H111"/>
    <mergeCell ref="G112:H112"/>
    <mergeCell ref="G81:H81"/>
    <mergeCell ref="F92:H92"/>
    <mergeCell ref="G93:H93"/>
    <mergeCell ref="G96:H96"/>
    <mergeCell ref="G100:H100"/>
    <mergeCell ref="G101:H101"/>
    <mergeCell ref="G110:H110"/>
    <mergeCell ref="G109:H109"/>
    <mergeCell ref="G108:H108"/>
    <mergeCell ref="G97:H97"/>
    <mergeCell ref="G98:H98"/>
    <mergeCell ref="G99:H99"/>
    <mergeCell ref="G94:H94"/>
    <mergeCell ref="G95:H95"/>
    <mergeCell ref="G105:H105"/>
    <mergeCell ref="G106:H106"/>
    <mergeCell ref="F82:H82"/>
    <mergeCell ref="G83:H83"/>
    <mergeCell ref="F69:H69"/>
    <mergeCell ref="E71:H71"/>
    <mergeCell ref="F72:H72"/>
    <mergeCell ref="G73:H73"/>
    <mergeCell ref="G76:H76"/>
    <mergeCell ref="G80:H80"/>
    <mergeCell ref="G43:H43"/>
    <mergeCell ref="G54:H54"/>
    <mergeCell ref="F55:H55"/>
    <mergeCell ref="G56:H56"/>
    <mergeCell ref="G57:H57"/>
    <mergeCell ref="G68:H68"/>
    <mergeCell ref="G77:H77"/>
    <mergeCell ref="G78:H78"/>
    <mergeCell ref="G79:H79"/>
    <mergeCell ref="G75:H75"/>
    <mergeCell ref="G74:H74"/>
    <mergeCell ref="G13:H13"/>
    <mergeCell ref="G14:H14"/>
    <mergeCell ref="G25:H25"/>
    <mergeCell ref="G26:H26"/>
    <mergeCell ref="F41:H41"/>
    <mergeCell ref="G42:H42"/>
    <mergeCell ref="B7:K7"/>
    <mergeCell ref="C9:H9"/>
    <mergeCell ref="M9:N9"/>
    <mergeCell ref="D10:H10"/>
    <mergeCell ref="E11:H11"/>
    <mergeCell ref="F12:H12"/>
    <mergeCell ref="F27:H27"/>
    <mergeCell ref="G28:H28"/>
    <mergeCell ref="G29:H29"/>
    <mergeCell ref="G40:H40"/>
    <mergeCell ref="D141:H141"/>
    <mergeCell ref="C143:H143"/>
    <mergeCell ref="C144:H144"/>
    <mergeCell ref="D145:H145"/>
    <mergeCell ref="E146:H146"/>
    <mergeCell ref="F147:H147"/>
    <mergeCell ref="F154:H154"/>
    <mergeCell ref="F155:H155"/>
    <mergeCell ref="F156:H156"/>
    <mergeCell ref="F148:H148"/>
    <mergeCell ref="F149:H149"/>
    <mergeCell ref="F150:H150"/>
    <mergeCell ref="F151:H151"/>
    <mergeCell ref="E152:H152"/>
    <mergeCell ref="F153:H153"/>
  </mergeCells>
  <pageMargins left="0.7" right="0.7" top="0.75" bottom="0.75" header="0.3" footer="0.3"/>
  <pageSetup paperSize="9" scale="54" orientation="portrait" verticalDpi="300" r:id="rId1"/>
  <rowBreaks count="3" manualBreakCount="3">
    <brk id="70" max="16383" man="1"/>
    <brk id="143" max="13" man="1"/>
    <brk id="207" max="16383" man="1"/>
  </rowBreaks>
  <colBreaks count="1" manualBreakCount="1">
    <brk id="11" max="256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J10:L31"/>
  <sheetViews>
    <sheetView zoomScale="85" zoomScaleNormal="85" workbookViewId="0">
      <selection activeCell="J9" sqref="J9"/>
    </sheetView>
  </sheetViews>
  <sheetFormatPr defaultRowHeight="17.25"/>
  <cols>
    <col min="1" max="1" width="6.85546875" style="1" customWidth="1"/>
    <col min="2" max="9" width="9.140625" style="1"/>
    <col min="10" max="10" width="25.140625" style="1" customWidth="1"/>
    <col min="11" max="12" width="24.7109375" style="1" customWidth="1"/>
    <col min="13" max="16384" width="9.140625" style="1"/>
  </cols>
  <sheetData>
    <row r="10" spans="10:12" ht="18" thickBot="1"/>
    <row r="11" spans="10:12" ht="18" thickBot="1">
      <c r="J11" s="268" t="s">
        <v>312</v>
      </c>
      <c r="K11" s="257" t="s">
        <v>156</v>
      </c>
      <c r="L11" s="269" t="s">
        <v>313</v>
      </c>
    </row>
    <row r="12" spans="10:12">
      <c r="J12" s="38" t="s">
        <v>314</v>
      </c>
      <c r="K12" s="39">
        <f>'CUSTOS ANUAIS'!K143</f>
        <v>111499.09236096001</v>
      </c>
      <c r="L12" s="40">
        <f>(K12/'CUSTOS ANUAIS'!$K$246)</f>
        <v>0.98944760082658723</v>
      </c>
    </row>
    <row r="13" spans="10:12">
      <c r="J13" s="41" t="s">
        <v>315</v>
      </c>
      <c r="K13" s="42">
        <f>'CUSTOS ANUAIS'!K233</f>
        <v>23233.601466666667</v>
      </c>
      <c r="L13" s="40">
        <f>(K13/'CUSTOS ANUAIS'!$K$246)</f>
        <v>0.2061759494448003</v>
      </c>
    </row>
    <row r="14" spans="10:12" ht="18" thickBot="1">
      <c r="J14" s="43" t="s">
        <v>316</v>
      </c>
      <c r="K14" s="44">
        <f>'CUSTOS ANUAIS'!K244</f>
        <v>12179.529649607877</v>
      </c>
      <c r="L14" s="45">
        <f>(K14/'CUSTOS ANUAIS'!$K$246)</f>
        <v>0.10808165462000034</v>
      </c>
    </row>
    <row r="19" spans="10:12" ht="18" thickBot="1"/>
    <row r="20" spans="10:12" ht="18" thickBot="1">
      <c r="J20" s="240" t="s">
        <v>317</v>
      </c>
      <c r="K20" s="251" t="s">
        <v>156</v>
      </c>
      <c r="L20" s="6" t="s">
        <v>318</v>
      </c>
    </row>
    <row r="21" spans="10:12">
      <c r="J21" s="38" t="s">
        <v>173</v>
      </c>
      <c r="K21" s="39">
        <f>'CUSTOS ANUAIS'!K69</f>
        <v>74862.881913600009</v>
      </c>
      <c r="L21" s="46">
        <f>K21/$K$31</f>
        <v>0.66433633971276451</v>
      </c>
    </row>
    <row r="22" spans="10:12">
      <c r="J22" s="41" t="s">
        <v>537</v>
      </c>
      <c r="K22" s="42">
        <f>'CUSTOS ANUAIS'!K131</f>
        <v>34224</v>
      </c>
      <c r="L22" s="40">
        <f>K22/$K$31</f>
        <v>0.30370520489138769</v>
      </c>
    </row>
    <row r="23" spans="10:12">
      <c r="J23" s="41" t="s">
        <v>319</v>
      </c>
      <c r="K23" s="42">
        <f>'CUSTOS ANUAIS'!K158</f>
        <v>11040</v>
      </c>
      <c r="L23" s="40">
        <f>K23/$K$31</f>
        <v>9.7969420932705706E-2</v>
      </c>
    </row>
    <row r="24" spans="10:12">
      <c r="J24" s="41" t="s">
        <v>316</v>
      </c>
      <c r="K24" s="42">
        <f>'CUSTOS ANUAIS'!K244</f>
        <v>12179.529649607877</v>
      </c>
      <c r="L24" s="40">
        <f>K24/$K$31</f>
        <v>0.10808165462000034</v>
      </c>
    </row>
    <row r="25" spans="10:12">
      <c r="J25" s="41" t="s">
        <v>320</v>
      </c>
      <c r="K25" s="42">
        <f>'CUSTOS ANUAIS'!K187</f>
        <v>4173.041666666667</v>
      </c>
      <c r="L25" s="40">
        <f>K25/$K$31</f>
        <v>3.7031745979292249E-2</v>
      </c>
    </row>
    <row r="26" spans="10:12">
      <c r="J26" s="41" t="s">
        <v>321</v>
      </c>
      <c r="K26" s="42">
        <f>'CUSTOS ANUAIS'!K223</f>
        <v>3535.8317999999999</v>
      </c>
      <c r="L26" s="40">
        <f>K26/$K$31</f>
        <v>3.1377119018246961E-2</v>
      </c>
    </row>
    <row r="27" spans="10:12">
      <c r="J27" s="41" t="s">
        <v>322</v>
      </c>
      <c r="K27" s="42">
        <f>'CUSTOS ANUAIS'!K114</f>
        <v>1812.21044736</v>
      </c>
      <c r="L27" s="40">
        <f>K27/$K$31</f>
        <v>1.6081631171744451E-2</v>
      </c>
    </row>
    <row r="28" spans="10:12">
      <c r="J28" s="41" t="s">
        <v>323</v>
      </c>
      <c r="K28" s="42">
        <f>'CUSTOS ANUAIS'!K164</f>
        <v>3784.7280000000001</v>
      </c>
      <c r="L28" s="40">
        <f>K28/$K$31</f>
        <v>3.3585834288749762E-2</v>
      </c>
    </row>
    <row r="29" spans="10:12">
      <c r="J29" s="41" t="s">
        <v>546</v>
      </c>
      <c r="K29" s="42">
        <f>('CUSTOS ANUAIS'!K141+'CUSTOS ANUAIS'!K231)</f>
        <v>1300</v>
      </c>
      <c r="L29" s="40">
        <f>K29/$K$31</f>
        <v>1.1536254276496143E-2</v>
      </c>
    </row>
    <row r="30" spans="10:12" ht="18" thickBot="1">
      <c r="J30" s="43" t="s">
        <v>536</v>
      </c>
      <c r="K30" s="44">
        <f>'CUSTOS ANUAIS'!K120</f>
        <v>0</v>
      </c>
      <c r="L30" s="45">
        <f>K30/$K$31</f>
        <v>0</v>
      </c>
    </row>
    <row r="31" spans="10:12" ht="18" thickBot="1">
      <c r="J31" s="70" t="s">
        <v>324</v>
      </c>
      <c r="K31" s="360">
        <f>'CUSTOS ANUAIS'!K246</f>
        <v>112688.22347723454</v>
      </c>
      <c r="L31" s="361">
        <f>SUM(L21:L30)</f>
        <v>1.3037052048913877</v>
      </c>
    </row>
  </sheetData>
  <sheetProtection password="D2B3" sheet="1" objects="1" scenarios="1" selectLockedCells="1" selectUnlockedCells="1"/>
  <pageMargins left="0.51" right="0.51" top="0.79" bottom="0.79" header="0.31" footer="0.31"/>
  <pageSetup paperSize="9" scale="59"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5:H61"/>
  <sheetViews>
    <sheetView zoomScale="85" zoomScaleNormal="85" workbookViewId="0">
      <selection activeCell="C11" sqref="C11"/>
    </sheetView>
  </sheetViews>
  <sheetFormatPr defaultRowHeight="17.25"/>
  <cols>
    <col min="1" max="1" width="5.5703125" style="1" customWidth="1"/>
    <col min="2" max="2" width="28" style="1" customWidth="1"/>
    <col min="3" max="3" width="20.7109375" style="2" customWidth="1"/>
    <col min="4" max="5" width="23.7109375" style="2" customWidth="1"/>
    <col min="6" max="6" width="11.140625" style="1" customWidth="1"/>
    <col min="7" max="7" width="30.7109375" style="1" customWidth="1"/>
    <col min="8" max="8" width="25.7109375" style="1" customWidth="1"/>
    <col min="9" max="16384" width="9.140625" style="1"/>
  </cols>
  <sheetData>
    <row r="5" spans="2:8" ht="24" customHeight="1"/>
    <row r="6" spans="2:8">
      <c r="B6" s="313" t="s">
        <v>325</v>
      </c>
      <c r="C6" s="298"/>
      <c r="D6" s="298"/>
      <c r="E6" s="314"/>
      <c r="G6" s="313" t="s">
        <v>326</v>
      </c>
      <c r="H6" s="314"/>
    </row>
    <row r="7" spans="2:8" ht="18" thickBot="1"/>
    <row r="8" spans="2:8" ht="18" customHeight="1" thickBot="1">
      <c r="B8" s="3" t="s">
        <v>327</v>
      </c>
      <c r="C8" s="257" t="s">
        <v>459</v>
      </c>
      <c r="D8" s="257" t="s">
        <v>328</v>
      </c>
      <c r="E8" s="269" t="s">
        <v>329</v>
      </c>
      <c r="G8" s="62" t="s">
        <v>555</v>
      </c>
      <c r="H8" s="6" t="s">
        <v>167</v>
      </c>
    </row>
    <row r="9" spans="2:8">
      <c r="B9" s="4" t="s">
        <v>8</v>
      </c>
      <c r="C9" s="5"/>
      <c r="D9" s="5"/>
      <c r="E9" s="6"/>
      <c r="G9" s="4" t="s">
        <v>8</v>
      </c>
      <c r="H9" s="222"/>
    </row>
    <row r="10" spans="2:8">
      <c r="B10" s="8" t="s">
        <v>330</v>
      </c>
      <c r="C10" s="255">
        <v>0</v>
      </c>
      <c r="D10" s="9">
        <v>10</v>
      </c>
      <c r="E10" s="10">
        <f>C10*D10</f>
        <v>0</v>
      </c>
      <c r="G10" s="8" t="s">
        <v>331</v>
      </c>
      <c r="H10" s="11">
        <f>'CUSTOS ANUAIS'!N13/2</f>
        <v>204.11999999999998</v>
      </c>
    </row>
    <row r="11" spans="2:8">
      <c r="B11" s="8" t="s">
        <v>332</v>
      </c>
      <c r="C11" s="255">
        <v>0</v>
      </c>
      <c r="D11" s="9">
        <v>400</v>
      </c>
      <c r="E11" s="10">
        <f t="shared" ref="E11:E21" si="0">C11*D11</f>
        <v>0</v>
      </c>
      <c r="G11" s="8" t="s">
        <v>333</v>
      </c>
      <c r="H11" s="12">
        <f>H10*'CUSTOS ANUAIS'!N22</f>
        <v>8164.7999999999993</v>
      </c>
    </row>
    <row r="12" spans="2:8">
      <c r="B12" s="7" t="s">
        <v>334</v>
      </c>
      <c r="C12" s="13"/>
      <c r="D12" s="14"/>
      <c r="E12" s="10"/>
      <c r="G12" s="8" t="s">
        <v>335</v>
      </c>
      <c r="H12" s="12">
        <f>H11*'CUSTOS ANUAIS'!N24</f>
        <v>3919.1039999999994</v>
      </c>
    </row>
    <row r="13" spans="2:8">
      <c r="B13" s="8" t="s">
        <v>330</v>
      </c>
      <c r="C13" s="255">
        <v>0</v>
      </c>
      <c r="D13" s="9">
        <v>260</v>
      </c>
      <c r="E13" s="10">
        <f t="shared" si="0"/>
        <v>0</v>
      </c>
      <c r="G13" s="7" t="s">
        <v>334</v>
      </c>
      <c r="H13" s="12"/>
    </row>
    <row r="14" spans="2:8">
      <c r="B14" s="8" t="s">
        <v>332</v>
      </c>
      <c r="C14" s="255">
        <v>0</v>
      </c>
      <c r="D14" s="9">
        <v>450</v>
      </c>
      <c r="E14" s="10">
        <f t="shared" si="0"/>
        <v>0</v>
      </c>
      <c r="G14" s="8" t="s">
        <v>336</v>
      </c>
      <c r="H14" s="11">
        <f>H10</f>
        <v>204.11999999999998</v>
      </c>
    </row>
    <row r="15" spans="2:8">
      <c r="B15" s="8" t="s">
        <v>337</v>
      </c>
      <c r="C15" s="15">
        <f>'CUSTOS ANUAIS'!N15</f>
        <v>0</v>
      </c>
      <c r="D15" s="16">
        <f>'INSUMOS - PREÇOS'!E32</f>
        <v>0</v>
      </c>
      <c r="E15" s="10">
        <f t="shared" si="0"/>
        <v>0</v>
      </c>
      <c r="G15" s="8" t="s">
        <v>338</v>
      </c>
      <c r="H15" s="12">
        <f>H14*'CUSTOS ANUAIS'!N22</f>
        <v>8164.7999999999993</v>
      </c>
    </row>
    <row r="16" spans="2:8">
      <c r="B16" s="7" t="s">
        <v>20</v>
      </c>
      <c r="C16" s="13"/>
      <c r="D16" s="14"/>
      <c r="E16" s="10"/>
      <c r="G16" s="8" t="s">
        <v>339</v>
      </c>
      <c r="H16" s="12">
        <f>H15*'CUSTOS ANUAIS'!N24</f>
        <v>3919.1039999999994</v>
      </c>
    </row>
    <row r="17" spans="2:8">
      <c r="B17" s="8" t="s">
        <v>332</v>
      </c>
      <c r="C17" s="255">
        <v>0</v>
      </c>
      <c r="D17" s="9">
        <v>200</v>
      </c>
      <c r="E17" s="10">
        <f t="shared" si="0"/>
        <v>0</v>
      </c>
      <c r="G17" s="7" t="s">
        <v>340</v>
      </c>
      <c r="H17" s="11">
        <f>'CUSTOS ANUAIS'!N16*'CUSTOS ANUAIS'!N11</f>
        <v>52.5</v>
      </c>
    </row>
    <row r="18" spans="2:8" ht="18" thickBot="1">
      <c r="B18" s="8" t="s">
        <v>341</v>
      </c>
      <c r="C18" s="255">
        <v>0</v>
      </c>
      <c r="D18" s="9">
        <v>300</v>
      </c>
      <c r="E18" s="10">
        <f t="shared" si="0"/>
        <v>0</v>
      </c>
      <c r="G18" s="17" t="s">
        <v>420</v>
      </c>
      <c r="H18" s="223">
        <f>('CUSTOS ANUAIS'!N11*'CUSTOS ANUAIS'!N25)+('CUSTOS ANUAIS'!N12*'CUSTOS ANUAIS'!N27)+('CUSTOS ANUAIS'!N13*'CUSTOS ANUAIS'!N26)</f>
        <v>1890.48</v>
      </c>
    </row>
    <row r="19" spans="2:8">
      <c r="B19" s="7" t="s">
        <v>342</v>
      </c>
      <c r="C19" s="13"/>
      <c r="D19" s="14"/>
      <c r="E19" s="10"/>
    </row>
    <row r="20" spans="2:8">
      <c r="B20" s="8" t="s">
        <v>332</v>
      </c>
      <c r="C20" s="255">
        <v>0</v>
      </c>
      <c r="D20" s="9">
        <v>1000</v>
      </c>
      <c r="E20" s="10">
        <f>C20*D20</f>
        <v>0</v>
      </c>
    </row>
    <row r="21" spans="2:8">
      <c r="B21" s="8" t="s">
        <v>341</v>
      </c>
      <c r="C21" s="255">
        <v>0</v>
      </c>
      <c r="D21" s="9">
        <v>0</v>
      </c>
      <c r="E21" s="10">
        <f t="shared" si="0"/>
        <v>0</v>
      </c>
    </row>
    <row r="22" spans="2:8">
      <c r="B22" s="7" t="s">
        <v>469</v>
      </c>
      <c r="C22" s="152"/>
      <c r="D22" s="393"/>
      <c r="E22" s="10"/>
    </row>
    <row r="23" spans="2:8">
      <c r="B23" s="373" t="s">
        <v>472</v>
      </c>
      <c r="C23" s="255">
        <v>1000</v>
      </c>
      <c r="D23" s="219">
        <v>30</v>
      </c>
      <c r="E23" s="10">
        <f>C23*D23</f>
        <v>30000</v>
      </c>
    </row>
    <row r="24" spans="2:8">
      <c r="B24" s="373" t="s">
        <v>470</v>
      </c>
      <c r="C24" s="255">
        <v>800</v>
      </c>
      <c r="D24" s="219">
        <v>60</v>
      </c>
      <c r="E24" s="10">
        <f t="shared" ref="E24:E43" si="1">C24*D24</f>
        <v>48000</v>
      </c>
    </row>
    <row r="25" spans="2:8">
      <c r="B25" s="373" t="s">
        <v>471</v>
      </c>
      <c r="C25" s="255">
        <v>500</v>
      </c>
      <c r="D25" s="219">
        <v>20</v>
      </c>
      <c r="E25" s="10">
        <f t="shared" si="1"/>
        <v>10000</v>
      </c>
    </row>
    <row r="26" spans="2:8">
      <c r="B26" s="373" t="s">
        <v>473</v>
      </c>
      <c r="C26" s="255">
        <v>1700</v>
      </c>
      <c r="D26" s="219">
        <v>15</v>
      </c>
      <c r="E26" s="10">
        <f t="shared" si="1"/>
        <v>25500</v>
      </c>
    </row>
    <row r="27" spans="2:8">
      <c r="B27" s="373" t="s">
        <v>474</v>
      </c>
      <c r="C27" s="255"/>
      <c r="D27" s="219">
        <v>0</v>
      </c>
      <c r="E27" s="10">
        <f t="shared" si="1"/>
        <v>0</v>
      </c>
    </row>
    <row r="28" spans="2:8">
      <c r="B28" s="373" t="s">
        <v>475</v>
      </c>
      <c r="C28" s="255"/>
      <c r="D28" s="219">
        <v>0</v>
      </c>
      <c r="E28" s="10">
        <f t="shared" si="1"/>
        <v>0</v>
      </c>
    </row>
    <row r="29" spans="2:8">
      <c r="B29" s="373" t="s">
        <v>476</v>
      </c>
      <c r="C29" s="255"/>
      <c r="D29" s="219">
        <v>0</v>
      </c>
      <c r="E29" s="10">
        <f t="shared" si="1"/>
        <v>0</v>
      </c>
    </row>
    <row r="30" spans="2:8">
      <c r="B30" s="373" t="s">
        <v>477</v>
      </c>
      <c r="C30" s="255"/>
      <c r="D30" s="219">
        <v>0</v>
      </c>
      <c r="E30" s="10">
        <f t="shared" si="1"/>
        <v>0</v>
      </c>
    </row>
    <row r="31" spans="2:8">
      <c r="B31" s="373" t="s">
        <v>478</v>
      </c>
      <c r="C31" s="255"/>
      <c r="D31" s="219">
        <v>0</v>
      </c>
      <c r="E31" s="10">
        <f t="shared" si="1"/>
        <v>0</v>
      </c>
    </row>
    <row r="32" spans="2:8">
      <c r="B32" s="373" t="s">
        <v>479</v>
      </c>
      <c r="C32" s="255"/>
      <c r="D32" s="219">
        <v>0</v>
      </c>
      <c r="E32" s="10">
        <f t="shared" si="1"/>
        <v>0</v>
      </c>
    </row>
    <row r="33" spans="2:8">
      <c r="B33" s="373" t="s">
        <v>480</v>
      </c>
      <c r="C33" s="255"/>
      <c r="D33" s="219">
        <v>0</v>
      </c>
      <c r="E33" s="10">
        <f t="shared" si="1"/>
        <v>0</v>
      </c>
    </row>
    <row r="34" spans="2:8">
      <c r="B34" s="373" t="s">
        <v>481</v>
      </c>
      <c r="C34" s="255"/>
      <c r="D34" s="219">
        <v>0</v>
      </c>
      <c r="E34" s="10">
        <f t="shared" si="1"/>
        <v>0</v>
      </c>
    </row>
    <row r="35" spans="2:8">
      <c r="B35" s="373" t="s">
        <v>482</v>
      </c>
      <c r="C35" s="255"/>
      <c r="D35" s="219">
        <v>0</v>
      </c>
      <c r="E35" s="10">
        <f t="shared" si="1"/>
        <v>0</v>
      </c>
    </row>
    <row r="36" spans="2:8">
      <c r="B36" s="373" t="s">
        <v>483</v>
      </c>
      <c r="C36" s="255"/>
      <c r="D36" s="219">
        <v>0</v>
      </c>
      <c r="E36" s="10">
        <f t="shared" si="1"/>
        <v>0</v>
      </c>
    </row>
    <row r="37" spans="2:8">
      <c r="B37" s="373" t="s">
        <v>484</v>
      </c>
      <c r="C37" s="255"/>
      <c r="D37" s="219">
        <v>0</v>
      </c>
      <c r="E37" s="10">
        <f t="shared" si="1"/>
        <v>0</v>
      </c>
    </row>
    <row r="38" spans="2:8">
      <c r="B38" s="7" t="s">
        <v>485</v>
      </c>
      <c r="C38" s="152"/>
      <c r="D38" s="394"/>
      <c r="E38" s="10"/>
    </row>
    <row r="39" spans="2:8">
      <c r="B39" s="373" t="str">
        <f>'INSUMOS - QUANTIDADES'!D286</f>
        <v>Linguiça</v>
      </c>
      <c r="C39" s="255">
        <v>200</v>
      </c>
      <c r="D39" s="219">
        <v>15</v>
      </c>
      <c r="E39" s="10">
        <f t="shared" si="1"/>
        <v>3000</v>
      </c>
    </row>
    <row r="40" spans="2:8">
      <c r="B40" s="373" t="str">
        <f>'INSUMOS - QUANTIDADES'!D287</f>
        <v>Hambúrguer</v>
      </c>
      <c r="C40" s="255"/>
      <c r="D40" s="219">
        <v>0</v>
      </c>
      <c r="E40" s="10">
        <f t="shared" si="1"/>
        <v>0</v>
      </c>
    </row>
    <row r="41" spans="2:8">
      <c r="B41" s="373" t="str">
        <f>'INSUMOS - QUANTIDADES'!D288</f>
        <v>Outro 1</v>
      </c>
      <c r="C41" s="255"/>
      <c r="D41" s="219">
        <v>0</v>
      </c>
      <c r="E41" s="10">
        <f t="shared" si="1"/>
        <v>0</v>
      </c>
      <c r="G41" s="1" t="s">
        <v>345</v>
      </c>
      <c r="H41" s="24">
        <f>(E21+E18)/E49</f>
        <v>0</v>
      </c>
    </row>
    <row r="42" spans="2:8">
      <c r="B42" s="373" t="str">
        <f>'INSUMOS - QUANTIDADES'!D289</f>
        <v>Outro 2</v>
      </c>
      <c r="C42" s="255"/>
      <c r="D42" s="219">
        <v>0</v>
      </c>
      <c r="E42" s="10">
        <f t="shared" si="1"/>
        <v>0</v>
      </c>
      <c r="G42" s="1" t="s">
        <v>346</v>
      </c>
      <c r="H42" s="24">
        <f>(E10+E13)/E49</f>
        <v>0</v>
      </c>
    </row>
    <row r="43" spans="2:8">
      <c r="B43" s="373" t="str">
        <f>'INSUMOS - PREÇOS'!C102</f>
        <v>Outro 3</v>
      </c>
      <c r="C43" s="255"/>
      <c r="D43" s="219">
        <v>0</v>
      </c>
      <c r="E43" s="10">
        <f>C43*D43</f>
        <v>0</v>
      </c>
      <c r="G43" s="1" t="s">
        <v>348</v>
      </c>
      <c r="H43" s="24">
        <f>(E11+E14+E17+E20)/E49</f>
        <v>0</v>
      </c>
    </row>
    <row r="44" spans="2:8">
      <c r="B44" s="7" t="s">
        <v>399</v>
      </c>
      <c r="C44" s="152"/>
      <c r="D44" s="393"/>
      <c r="E44" s="10"/>
      <c r="G44" s="1" t="s">
        <v>399</v>
      </c>
      <c r="H44" s="220">
        <f>(E45+E46+E47+E48)/E49</f>
        <v>0</v>
      </c>
    </row>
    <row r="45" spans="2:8">
      <c r="B45" s="373" t="s">
        <v>105</v>
      </c>
      <c r="C45" s="255"/>
      <c r="D45" s="219">
        <v>0</v>
      </c>
      <c r="E45" s="10">
        <f>C45*D45</f>
        <v>0</v>
      </c>
      <c r="G45" s="1" t="s">
        <v>550</v>
      </c>
      <c r="H45" s="24">
        <f>(SUM(E23:E37)/E49)</f>
        <v>0.97424892703862664</v>
      </c>
    </row>
    <row r="46" spans="2:8">
      <c r="B46" s="373" t="s">
        <v>400</v>
      </c>
      <c r="C46" s="255"/>
      <c r="D46" s="219">
        <v>0</v>
      </c>
      <c r="E46" s="10">
        <f>C46*D46</f>
        <v>0</v>
      </c>
      <c r="G46" s="1" t="s">
        <v>551</v>
      </c>
      <c r="H46" s="24">
        <f>SUM(E39:E43)/E49</f>
        <v>2.575107296137339E-2</v>
      </c>
    </row>
    <row r="47" spans="2:8">
      <c r="B47" s="373" t="s">
        <v>401</v>
      </c>
      <c r="C47" s="255"/>
      <c r="D47" s="219">
        <v>0</v>
      </c>
      <c r="E47" s="10">
        <f>C47*D47</f>
        <v>0</v>
      </c>
    </row>
    <row r="48" spans="2:8" ht="18" thickBot="1">
      <c r="B48" s="373" t="s">
        <v>402</v>
      </c>
      <c r="C48" s="255"/>
      <c r="D48" s="219">
        <v>0</v>
      </c>
      <c r="E48" s="10">
        <f>C48*D48</f>
        <v>0</v>
      </c>
    </row>
    <row r="49" spans="2:7">
      <c r="B49" s="19"/>
      <c r="C49" s="20"/>
      <c r="D49" s="21" t="s">
        <v>343</v>
      </c>
      <c r="E49" s="22">
        <f>SUM(E10:E48)</f>
        <v>116500</v>
      </c>
    </row>
    <row r="50" spans="2:7" ht="18" thickBot="1">
      <c r="B50" s="339" t="s">
        <v>344</v>
      </c>
      <c r="C50" s="340"/>
      <c r="D50" s="340"/>
      <c r="E50" s="23">
        <f>E49/('CUSTOS ANUAIS'!N13*'CUSTOS ANUAIS'!N22)</f>
        <v>7.1342837546541258</v>
      </c>
    </row>
    <row r="52" spans="2:7" ht="18" thickBot="1"/>
    <row r="53" spans="2:7" ht="18" thickBot="1">
      <c r="B53" s="25"/>
      <c r="C53" s="26"/>
      <c r="D53" s="26"/>
      <c r="E53" s="269" t="s">
        <v>347</v>
      </c>
    </row>
    <row r="54" spans="2:7">
      <c r="B54" s="27"/>
      <c r="C54" s="28"/>
      <c r="D54" s="28"/>
      <c r="E54" s="29"/>
    </row>
    <row r="55" spans="2:7" ht="17.25" customHeight="1">
      <c r="B55" s="30" t="s">
        <v>349</v>
      </c>
      <c r="C55" s="31"/>
      <c r="D55" s="31"/>
      <c r="E55" s="32">
        <f>(('CUSTOS ANUAIS'!K234/('CUSTOS ANUAIS'!N13*'CUSTOS ANUAIS'!N22)))</f>
        <v>8.2508263415899155</v>
      </c>
    </row>
    <row r="56" spans="2:7">
      <c r="B56" s="30" t="s">
        <v>350</v>
      </c>
      <c r="C56" s="31"/>
      <c r="D56" s="31"/>
      <c r="E56" s="32">
        <f>(('CUSTOS ANUAIS'!K244)/('CUSTOS ANUAIS'!N13*'CUSTOS ANUAIS'!N22))</f>
        <v>0.74585597011610072</v>
      </c>
    </row>
    <row r="57" spans="2:7">
      <c r="B57" s="30" t="s">
        <v>351</v>
      </c>
      <c r="C57" s="31"/>
      <c r="D57" s="31"/>
      <c r="E57" s="32">
        <f>SUM(E55:E56)</f>
        <v>8.9966823117060155</v>
      </c>
      <c r="G57" s="36"/>
    </row>
    <row r="58" spans="2:7">
      <c r="B58" s="30" t="s">
        <v>352</v>
      </c>
      <c r="C58" s="31"/>
      <c r="D58" s="31"/>
      <c r="E58" s="32">
        <f>(LUCRATIVIDADE!E49-'CUSTOS ANUAIS'!K246)/('CUSTOS ANUAIS'!N13*'CUSTOS ANUAIS'!N22)</f>
        <v>0.2334274276629838</v>
      </c>
    </row>
    <row r="59" spans="2:7" ht="18" thickBot="1">
      <c r="B59" s="33"/>
      <c r="C59" s="34"/>
      <c r="D59" s="34"/>
      <c r="E59" s="35"/>
      <c r="F59" s="36"/>
    </row>
    <row r="60" spans="2:7" ht="18" thickBot="1">
      <c r="B60" s="341" t="s">
        <v>353</v>
      </c>
      <c r="C60" s="342"/>
      <c r="D60" s="342"/>
      <c r="E60" s="37">
        <f>E58+E56</f>
        <v>0.97928339777908446</v>
      </c>
      <c r="F60" s="36"/>
    </row>
    <row r="61" spans="2:7" ht="18" thickBot="1">
      <c r="B61" s="341" t="s">
        <v>354</v>
      </c>
      <c r="C61" s="342"/>
      <c r="D61" s="342"/>
      <c r="E61" s="37">
        <f>$E$60*'CUSTOS ANUAIS'!$N$22*'CUSTOS ANUAIS'!$N$13</f>
        <v>15991.306172373337</v>
      </c>
    </row>
  </sheetData>
  <sheetProtection password="D2B3" sheet="1" objects="1" scenarios="1" selectLockedCells="1"/>
  <mergeCells count="5">
    <mergeCell ref="B6:E6"/>
    <mergeCell ref="G6:H6"/>
    <mergeCell ref="B50:D50"/>
    <mergeCell ref="B60:D60"/>
    <mergeCell ref="B61:D61"/>
  </mergeCells>
  <pageMargins left="0.51" right="0.51" top="0.79" bottom="0.79" header="0.31" footer="0.31"/>
  <pageSetup paperSize="9" scale="70" orientation="portrait" verticalDpi="300" r:id="rId1"/>
  <colBreaks count="1" manualBreakCount="1">
    <brk id="5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10</vt:i4>
      </vt:variant>
    </vt:vector>
  </HeadingPairs>
  <TitlesOfParts>
    <vt:vector size="16" baseType="lpstr">
      <vt:lpstr>APRESENTAÇÃO</vt:lpstr>
      <vt:lpstr>INSUMOS - QUANTIDADES</vt:lpstr>
      <vt:lpstr>INSUMOS - PREÇOS</vt:lpstr>
      <vt:lpstr>CUSTOS ANUAIS</vt:lpstr>
      <vt:lpstr>RESUMO CUSTOS</vt:lpstr>
      <vt:lpstr>LUCRATIVIDADE</vt:lpstr>
      <vt:lpstr>APRESENTAÇÃO!Area_de_impressao</vt:lpstr>
      <vt:lpstr>'CUSTOS ANUAIS'!Area_de_impressao</vt:lpstr>
      <vt:lpstr>'INSUMOS - PREÇOS'!Area_de_impressao</vt:lpstr>
      <vt:lpstr>'RESUMO CUSTOS'!Area_de_impressao</vt:lpstr>
      <vt:lpstr>APRESENTAÇÃO!Print_Area</vt:lpstr>
      <vt:lpstr>'CUSTOS ANUAIS'!Print_Area</vt:lpstr>
      <vt:lpstr>'INSUMOS - PREÇOS'!Print_Area</vt:lpstr>
      <vt:lpstr>'INSUMOS - QUANTIDADES'!Print_Area</vt:lpstr>
      <vt:lpstr>LUCRATIVIDADE!Print_Area</vt:lpstr>
      <vt:lpstr>'RESUMO CUSTOS'!Print_Area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Camila</cp:lastModifiedBy>
  <cp:lastPrinted>2012-09-08T17:33:15Z</cp:lastPrinted>
  <dcterms:created xsi:type="dcterms:W3CDTF">2012-02-08T10:51:58Z</dcterms:created>
  <dcterms:modified xsi:type="dcterms:W3CDTF">2020-06-26T21:24:29Z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1033-10.2.0.5908</vt:lpwstr>
  </property>
</Properties>
</file>