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omments2.xml" ContentType="application/vnd.openxmlformats-officedocument.spreadsheetml.comments+xml"/>
  <Override PartName="/xl/drawings/drawing5.xml" ContentType="application/vnd.openxmlformats-officedocument.drawing+xml"/>
  <Override PartName="/xl/tables/table6.xml" ContentType="application/vnd.openxmlformats-officedocument.spreadsheetml.table+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threadedComments/threadedComment1.xml" ContentType="application/vnd.ms-excel.threaded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9.xml" ContentType="application/vnd.openxmlformats-officedocument.drawing+xml"/>
  <Override PartName="/xl/comments6.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0.xml" ContentType="application/vnd.openxmlformats-officedocument.drawingml.chartshapes+xml"/>
  <Override PartName="/xl/drawings/drawing1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codeName="EstaPastaDeTrabalho"/>
  <mc:AlternateContent xmlns:mc="http://schemas.openxmlformats.org/markup-compatibility/2006">
    <mc:Choice Requires="x15">
      <x15ac:absPath xmlns:x15ac="http://schemas.microsoft.com/office/spreadsheetml/2010/11/ac" url="G:\Meu Drive\Mestrado\Projeto\Planilha\"/>
    </mc:Choice>
  </mc:AlternateContent>
  <xr:revisionPtr revIDLastSave="0" documentId="13_ncr:1_{32E5F265-8846-4FD2-BF6F-5DF42E1D7AD4}" xr6:coauthVersionLast="47" xr6:coauthVersionMax="47" xr10:uidLastSave="{00000000-0000-0000-0000-000000000000}"/>
  <bookViews>
    <workbookView xWindow="-120" yWindow="-120" windowWidth="20730" windowHeight="11160" firstSheet="5" activeTab="8" xr2:uid="{00000000-000D-0000-FFFF-FFFF00000000}"/>
  </bookViews>
  <sheets>
    <sheet name="Instruções" sheetId="1" r:id="rId1"/>
    <sheet name="Dados da propriedade" sheetId="2" r:id="rId2"/>
    <sheet name="Caracterização do sistema" sheetId="6" r:id="rId3"/>
    <sheet name="Plantel produtivo" sheetId="12" r:id="rId4"/>
    <sheet name="Inventário Físico" sheetId="4" r:id="rId5"/>
    <sheet name="Insumos e serviços" sheetId="11" r:id="rId6"/>
    <sheet name="Custo de produção por lotes" sheetId="7" r:id="rId7"/>
    <sheet name="Resumo custos" sheetId="8" r:id="rId8"/>
    <sheet name="Relatório econômico" sheetId="9" r:id="rId9"/>
    <sheet name="Os autores" sheetId="13" r:id="rId10"/>
  </sheets>
  <definedNames>
    <definedName name="_xlnm._FilterDatabase" localSheetId="2" hidden="1">'Caracterização do sistema'!$C$37:$N$40</definedName>
    <definedName name="_xlnm._FilterDatabase" localSheetId="4" hidden="1">'Inventário Físico'!$B$27:$M$179</definedName>
    <definedName name="_xlnm._FilterDatabase" localSheetId="3" hidden="1">'Plantel produtivo'!$C$38:$D$55</definedName>
    <definedName name="ha">'Inventário Físico'!#REF!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80" i="12" l="1"/>
  <c r="F13" i="4" l="1"/>
  <c r="D74" i="12"/>
  <c r="D70" i="12"/>
  <c r="D66" i="12"/>
  <c r="D75" i="12" s="1"/>
  <c r="D65" i="12"/>
  <c r="D69" i="12" s="1"/>
  <c r="D48" i="12"/>
  <c r="D49" i="12" s="1"/>
  <c r="D34" i="12" s="1"/>
  <c r="D71" i="12" l="1"/>
  <c r="D31" i="12"/>
  <c r="D32" i="12" s="1"/>
  <c r="D73" i="12"/>
  <c r="D54" i="12"/>
  <c r="D87" i="12" l="1"/>
  <c r="D86" i="12"/>
  <c r="D85" i="12"/>
  <c r="L311" i="7" l="1"/>
  <c r="L310" i="7"/>
  <c r="L309" i="7"/>
  <c r="L293" i="7"/>
  <c r="L291" i="7"/>
  <c r="L289" i="7"/>
  <c r="L287" i="7"/>
  <c r="L285" i="7"/>
  <c r="L283" i="7"/>
  <c r="L279" i="7"/>
  <c r="L278" i="7"/>
  <c r="L277" i="7"/>
  <c r="L276" i="7"/>
  <c r="L275" i="7"/>
  <c r="L274" i="7"/>
  <c r="L273" i="7"/>
  <c r="L271" i="7"/>
  <c r="L270" i="7"/>
  <c r="L269" i="7"/>
  <c r="L267" i="7"/>
  <c r="L266" i="7"/>
  <c r="L265" i="7"/>
  <c r="L263" i="7"/>
  <c r="L262" i="7"/>
  <c r="L261" i="7"/>
  <c r="L259" i="7"/>
  <c r="L258" i="7"/>
  <c r="L257" i="7"/>
  <c r="L256" i="7"/>
  <c r="L255" i="7"/>
  <c r="L252" i="7"/>
  <c r="L251" i="7"/>
  <c r="D10" i="4"/>
  <c r="L710" i="7" l="1"/>
  <c r="P710" i="7"/>
  <c r="N710" i="7"/>
  <c r="K29" i="4"/>
  <c r="L29" i="4"/>
  <c r="L305" i="7"/>
  <c r="L300" i="7"/>
  <c r="F336" i="11"/>
  <c r="F335" i="11"/>
  <c r="F334" i="11"/>
  <c r="F333" i="11"/>
  <c r="F332" i="11"/>
  <c r="F331" i="11"/>
  <c r="F330" i="11"/>
  <c r="F329" i="11"/>
  <c r="F328" i="11"/>
  <c r="F327" i="11"/>
  <c r="F280" i="11"/>
  <c r="F278" i="11"/>
  <c r="F277" i="11"/>
  <c r="F276" i="11"/>
  <c r="F275" i="11"/>
  <c r="F274" i="11"/>
  <c r="F273" i="11"/>
  <c r="F272" i="11"/>
  <c r="F271" i="11"/>
  <c r="F216" i="11"/>
  <c r="F217" i="11"/>
  <c r="F218" i="11"/>
  <c r="F215" i="11"/>
  <c r="F158" i="11"/>
  <c r="F157" i="11"/>
  <c r="F156" i="11"/>
  <c r="F152" i="11"/>
  <c r="F151" i="11"/>
  <c r="F134" i="11"/>
  <c r="F133" i="11"/>
  <c r="F109" i="11"/>
  <c r="F108" i="11"/>
  <c r="F106" i="11"/>
  <c r="F105" i="11"/>
  <c r="F92" i="11"/>
  <c r="F89" i="11"/>
  <c r="F83" i="11"/>
  <c r="F82" i="11"/>
  <c r="F294" i="11"/>
  <c r="F292" i="11"/>
  <c r="F236" i="11"/>
  <c r="F180" i="11"/>
  <c r="F177" i="11"/>
  <c r="F175" i="11"/>
  <c r="F174" i="11"/>
  <c r="F172" i="11"/>
  <c r="F71" i="11"/>
  <c r="F68" i="11"/>
  <c r="F66" i="11"/>
  <c r="F65" i="11"/>
  <c r="F64" i="11"/>
  <c r="F62" i="11"/>
  <c r="F61" i="11"/>
  <c r="F9" i="11"/>
  <c r="F158" i="4"/>
  <c r="F17" i="4"/>
  <c r="F16" i="4"/>
  <c r="F15" i="4"/>
  <c r="F14" i="4"/>
  <c r="F12" i="4"/>
  <c r="F11" i="4"/>
  <c r="F10" i="4"/>
  <c r="F9" i="4"/>
  <c r="F8" i="4"/>
  <c r="F7" i="4"/>
  <c r="F6" i="4"/>
  <c r="I65" i="6"/>
  <c r="I63" i="6"/>
  <c r="I28" i="6" l="1"/>
  <c r="I362" i="11"/>
  <c r="I210" i="11"/>
  <c r="F161" i="4"/>
  <c r="F150" i="4"/>
  <c r="F149" i="4"/>
  <c r="F145" i="4"/>
  <c r="F144" i="4"/>
  <c r="F136" i="4"/>
  <c r="F126" i="4"/>
  <c r="F115" i="4"/>
  <c r="F94" i="4"/>
  <c r="F114" i="4" s="1"/>
  <c r="F93" i="4"/>
  <c r="E90" i="4"/>
  <c r="F59" i="4"/>
  <c r="F69" i="4" s="1"/>
  <c r="F112" i="4" s="1"/>
  <c r="F58" i="4"/>
  <c r="F68" i="4" s="1"/>
  <c r="F111" i="4" s="1"/>
  <c r="F57" i="4"/>
  <c r="F67" i="4" s="1"/>
  <c r="F80" i="4" s="1"/>
  <c r="F138" i="4"/>
  <c r="F128" i="4"/>
  <c r="F117" i="4"/>
  <c r="F96" i="4"/>
  <c r="F60" i="4"/>
  <c r="F70" i="4" s="1"/>
  <c r="F83" i="4" s="1"/>
  <c r="F95" i="4" s="1"/>
  <c r="F116" i="4" s="1"/>
  <c r="F127" i="4" s="1"/>
  <c r="F137" i="4" s="1"/>
  <c r="F84" i="4"/>
  <c r="F71" i="4"/>
  <c r="F62" i="4"/>
  <c r="F72" i="4" s="1"/>
  <c r="F85" i="4" s="1"/>
  <c r="F97" i="4" s="1"/>
  <c r="F118" i="4" s="1"/>
  <c r="F129" i="4" s="1"/>
  <c r="F139" i="4" s="1"/>
  <c r="F61" i="4"/>
  <c r="F52" i="4"/>
  <c r="F63" i="4"/>
  <c r="F73" i="4" s="1"/>
  <c r="F86" i="4" s="1"/>
  <c r="F98" i="4" s="1"/>
  <c r="F119" i="4" s="1"/>
  <c r="F130" i="4" s="1"/>
  <c r="F140" i="4" s="1"/>
  <c r="F49" i="4"/>
  <c r="E126" i="4"/>
  <c r="F135" i="4" l="1"/>
  <c r="F92" i="4"/>
  <c r="F104" i="4" s="1"/>
  <c r="G172" i="4"/>
  <c r="J172" i="4" l="1"/>
  <c r="K172" i="4" s="1"/>
  <c r="N1" i="9"/>
  <c r="AE1" i="8"/>
  <c r="S3" i="7"/>
  <c r="M172" i="4" l="1"/>
  <c r="L172" i="4"/>
  <c r="L159" i="7"/>
  <c r="L162" i="7"/>
  <c r="L163" i="7"/>
  <c r="L164" i="7"/>
  <c r="L165" i="7"/>
  <c r="L166" i="7"/>
  <c r="L167" i="7"/>
  <c r="L168" i="7"/>
  <c r="L158" i="7"/>
  <c r="L171" i="7"/>
  <c r="L172" i="7"/>
  <c r="L175" i="7"/>
  <c r="L176" i="7"/>
  <c r="L177" i="7"/>
  <c r="L178" i="7"/>
  <c r="L179" i="7"/>
  <c r="L180" i="7"/>
  <c r="L170" i="7"/>
  <c r="L183" i="7"/>
  <c r="L184" i="7"/>
  <c r="L187" i="7"/>
  <c r="L189" i="7"/>
  <c r="L190" i="7"/>
  <c r="L191" i="7"/>
  <c r="L192" i="7"/>
  <c r="L182" i="7"/>
  <c r="L195" i="7"/>
  <c r="L197" i="7"/>
  <c r="L199" i="7"/>
  <c r="L200" i="7"/>
  <c r="L201" i="7"/>
  <c r="L202" i="7"/>
  <c r="L203" i="7"/>
  <c r="L204" i="7"/>
  <c r="L194" i="7"/>
  <c r="L207" i="7"/>
  <c r="L209" i="7"/>
  <c r="L211" i="7"/>
  <c r="L212" i="7"/>
  <c r="L213" i="7"/>
  <c r="L214" i="7"/>
  <c r="L215" i="7"/>
  <c r="L216" i="7"/>
  <c r="L206" i="7"/>
  <c r="L222" i="7"/>
  <c r="L223" i="7"/>
  <c r="L224" i="7"/>
  <c r="L225" i="7"/>
  <c r="L226" i="7"/>
  <c r="L227" i="7"/>
  <c r="L221" i="7"/>
  <c r="L220" i="7"/>
  <c r="L219" i="7"/>
  <c r="L218" i="7"/>
  <c r="N221" i="7" l="1"/>
  <c r="N224" i="7"/>
  <c r="N225" i="7"/>
  <c r="N226" i="7"/>
  <c r="L705" i="7"/>
  <c r="N705" i="7" s="1"/>
  <c r="P705" i="7" s="1"/>
  <c r="N227" i="7"/>
  <c r="N223" i="7"/>
  <c r="N222" i="7"/>
  <c r="N220" i="7"/>
  <c r="N219" i="7"/>
  <c r="N218" i="7"/>
  <c r="N216" i="7"/>
  <c r="N215" i="7"/>
  <c r="N214" i="7"/>
  <c r="N213" i="7"/>
  <c r="N212" i="7"/>
  <c r="N211" i="7"/>
  <c r="N209" i="7"/>
  <c r="N207" i="7"/>
  <c r="N206" i="7"/>
  <c r="N204" i="7"/>
  <c r="N203" i="7"/>
  <c r="N202" i="7"/>
  <c r="N201" i="7"/>
  <c r="N200" i="7"/>
  <c r="N199" i="7"/>
  <c r="N197" i="7"/>
  <c r="N195" i="7"/>
  <c r="N194" i="7"/>
  <c r="N192" i="7"/>
  <c r="N191" i="7"/>
  <c r="N190" i="7"/>
  <c r="N189" i="7"/>
  <c r="N187" i="7"/>
  <c r="N184" i="7"/>
  <c r="N183" i="7"/>
  <c r="N182" i="7"/>
  <c r="N180" i="7"/>
  <c r="N179" i="7"/>
  <c r="N178" i="7"/>
  <c r="N177" i="7"/>
  <c r="N176" i="7"/>
  <c r="N175" i="7"/>
  <c r="N172" i="7"/>
  <c r="N171" i="7"/>
  <c r="N170" i="7"/>
  <c r="N168" i="7"/>
  <c r="N167" i="7"/>
  <c r="N166" i="7"/>
  <c r="N165" i="7"/>
  <c r="N164" i="7"/>
  <c r="N163" i="7"/>
  <c r="N162" i="7"/>
  <c r="N159" i="7"/>
  <c r="N158" i="7"/>
  <c r="I320" i="11"/>
  <c r="I319" i="11"/>
  <c r="I318" i="11"/>
  <c r="I264" i="11"/>
  <c r="I263" i="11"/>
  <c r="I262" i="11"/>
  <c r="I208" i="11"/>
  <c r="I207" i="11"/>
  <c r="I206" i="11"/>
  <c r="I144" i="11"/>
  <c r="I143" i="11"/>
  <c r="I142" i="11"/>
  <c r="I141" i="11"/>
  <c r="I140" i="11"/>
  <c r="E241" i="7"/>
  <c r="I35" i="11" l="1"/>
  <c r="I33" i="11"/>
  <c r="I32" i="11"/>
  <c r="I31" i="11"/>
  <c r="F25" i="4"/>
  <c r="F24" i="4"/>
  <c r="L675" i="7" l="1"/>
  <c r="N675" i="7" s="1"/>
  <c r="L671" i="7"/>
  <c r="N671" i="7" s="1"/>
  <c r="F359" i="11" l="1"/>
  <c r="I146" i="11"/>
  <c r="I266" i="11"/>
  <c r="I322" i="11"/>
  <c r="I360" i="11"/>
  <c r="I359" i="11"/>
  <c r="I358" i="11"/>
  <c r="I357" i="11"/>
  <c r="I356" i="11"/>
  <c r="I355" i="11"/>
  <c r="I354" i="11"/>
  <c r="E91" i="4" l="1"/>
  <c r="E92" i="4" s="1"/>
  <c r="E95" i="4"/>
  <c r="E498" i="7"/>
  <c r="E497" i="7"/>
  <c r="E24" i="4"/>
  <c r="G24" i="4" s="1"/>
  <c r="L701" i="7" s="1"/>
  <c r="N701" i="7" s="1"/>
  <c r="I9" i="6"/>
  <c r="E74" i="7"/>
  <c r="E67" i="7"/>
  <c r="G80" i="11"/>
  <c r="E72" i="7"/>
  <c r="G190" i="11"/>
  <c r="G189" i="11"/>
  <c r="E71" i="7"/>
  <c r="E73" i="7"/>
  <c r="G199" i="11" l="1"/>
  <c r="G84" i="11"/>
  <c r="G87" i="11"/>
  <c r="G85" i="11"/>
  <c r="D9" i="9"/>
  <c r="E9" i="9" s="1"/>
  <c r="F9" i="9" s="1"/>
  <c r="I24" i="4" s="1"/>
  <c r="J24" i="4" s="1"/>
  <c r="K24" i="4" s="1"/>
  <c r="L24" i="4" s="1"/>
  <c r="M24" i="4" s="1"/>
  <c r="L497" i="7" s="1"/>
  <c r="N497" i="7" s="1"/>
  <c r="N236" i="7" l="1"/>
  <c r="N278" i="7" l="1"/>
  <c r="P278" i="7" s="1"/>
  <c r="L686" i="7"/>
  <c r="L687" i="7"/>
  <c r="L685" i="7"/>
  <c r="N685" i="7" s="1"/>
  <c r="L676" i="7"/>
  <c r="L677" i="7"/>
  <c r="L678" i="7"/>
  <c r="L679" i="7"/>
  <c r="L680" i="7"/>
  <c r="P675" i="7"/>
  <c r="L669" i="7"/>
  <c r="L670" i="7"/>
  <c r="P671" i="7"/>
  <c r="L672" i="7"/>
  <c r="L673" i="7"/>
  <c r="L668" i="7"/>
  <c r="L658" i="7"/>
  <c r="L659" i="7"/>
  <c r="L660" i="7"/>
  <c r="L661" i="7"/>
  <c r="L662" i="7"/>
  <c r="L663" i="7"/>
  <c r="L664" i="7"/>
  <c r="L665" i="7"/>
  <c r="L666" i="7"/>
  <c r="L657" i="7"/>
  <c r="L647" i="7"/>
  <c r="L648" i="7"/>
  <c r="L649" i="7"/>
  <c r="L650" i="7"/>
  <c r="L651" i="7"/>
  <c r="L652" i="7"/>
  <c r="L653" i="7"/>
  <c r="L654" i="7"/>
  <c r="L655" i="7"/>
  <c r="L646" i="7"/>
  <c r="N646" i="7" s="1"/>
  <c r="L637" i="7"/>
  <c r="L639" i="7"/>
  <c r="L640" i="7"/>
  <c r="L641" i="7"/>
  <c r="L642" i="7"/>
  <c r="L643" i="7"/>
  <c r="L635" i="7"/>
  <c r="L625" i="7"/>
  <c r="L627" i="7"/>
  <c r="L629" i="7"/>
  <c r="L630" i="7"/>
  <c r="L631" i="7"/>
  <c r="L632" i="7"/>
  <c r="L633" i="7"/>
  <c r="L604" i="7"/>
  <c r="L609" i="7"/>
  <c r="L610" i="7"/>
  <c r="L611" i="7"/>
  <c r="L612" i="7"/>
  <c r="L613" i="7"/>
  <c r="L614" i="7"/>
  <c r="L615" i="7"/>
  <c r="L616" i="7"/>
  <c r="L618" i="7"/>
  <c r="L619" i="7"/>
  <c r="L620" i="7"/>
  <c r="L621" i="7"/>
  <c r="L622" i="7"/>
  <c r="L592" i="7"/>
  <c r="L593" i="7"/>
  <c r="L594" i="7"/>
  <c r="L595" i="7"/>
  <c r="L596" i="7"/>
  <c r="L597" i="7"/>
  <c r="L598" i="7"/>
  <c r="L599" i="7"/>
  <c r="L600" i="7"/>
  <c r="L601" i="7"/>
  <c r="L591" i="7"/>
  <c r="L582" i="7"/>
  <c r="L583" i="7"/>
  <c r="L585" i="7"/>
  <c r="L586" i="7"/>
  <c r="L587" i="7"/>
  <c r="L588" i="7"/>
  <c r="L589" i="7"/>
  <c r="L579" i="7"/>
  <c r="L560" i="7"/>
  <c r="L561" i="7"/>
  <c r="L563" i="7"/>
  <c r="L564" i="7"/>
  <c r="L565" i="7"/>
  <c r="L566" i="7"/>
  <c r="L567" i="7"/>
  <c r="L570" i="7"/>
  <c r="L571" i="7"/>
  <c r="L573" i="7"/>
  <c r="L574" i="7"/>
  <c r="L575" i="7"/>
  <c r="L576" i="7"/>
  <c r="L577" i="7"/>
  <c r="L542" i="7"/>
  <c r="L543" i="7"/>
  <c r="L544" i="7"/>
  <c r="L545" i="7"/>
  <c r="L546" i="7"/>
  <c r="L547" i="7"/>
  <c r="L548" i="7"/>
  <c r="L549" i="7"/>
  <c r="L550" i="7"/>
  <c r="L551" i="7"/>
  <c r="L552" i="7"/>
  <c r="L553" i="7"/>
  <c r="L554" i="7"/>
  <c r="L555" i="7"/>
  <c r="L556" i="7"/>
  <c r="L557" i="7"/>
  <c r="L541" i="7"/>
  <c r="N541" i="7" s="1"/>
  <c r="L532" i="7"/>
  <c r="L533" i="7"/>
  <c r="L535" i="7"/>
  <c r="L536" i="7"/>
  <c r="L537" i="7"/>
  <c r="L538" i="7"/>
  <c r="L530" i="7"/>
  <c r="N530" i="7" s="1"/>
  <c r="L520" i="7"/>
  <c r="N520" i="7" s="1"/>
  <c r="L521" i="7"/>
  <c r="L522" i="7"/>
  <c r="L523" i="7"/>
  <c r="L524" i="7"/>
  <c r="L525" i="7"/>
  <c r="L526" i="7"/>
  <c r="L519" i="7"/>
  <c r="L511" i="7"/>
  <c r="L507" i="7"/>
  <c r="N507" i="7" s="1"/>
  <c r="L294" i="7"/>
  <c r="N294" i="7" s="1"/>
  <c r="P294" i="7" s="1"/>
  <c r="N293" i="7"/>
  <c r="N291" i="7"/>
  <c r="N289" i="7"/>
  <c r="N287" i="7"/>
  <c r="N285" i="7"/>
  <c r="N283" i="7"/>
  <c r="N687" i="7" l="1"/>
  <c r="P687" i="7" s="1"/>
  <c r="N686" i="7"/>
  <c r="P686" i="7" s="1"/>
  <c r="N525" i="7"/>
  <c r="P525" i="7" s="1"/>
  <c r="N549" i="7"/>
  <c r="P549" i="7" s="1"/>
  <c r="N579" i="7"/>
  <c r="P579" i="7" s="1"/>
  <c r="N618" i="7"/>
  <c r="P618" i="7" s="1"/>
  <c r="N666" i="7"/>
  <c r="P666" i="7" s="1"/>
  <c r="N548" i="7"/>
  <c r="P548" i="7" s="1"/>
  <c r="N566" i="7"/>
  <c r="P566" i="7" s="1"/>
  <c r="N609" i="7"/>
  <c r="P609" i="7" s="1"/>
  <c r="N665" i="7"/>
  <c r="P665" i="7" s="1"/>
  <c r="N555" i="7"/>
  <c r="P555" i="7" s="1"/>
  <c r="N588" i="7"/>
  <c r="P588" i="7" s="1"/>
  <c r="N604" i="7"/>
  <c r="P604" i="7" s="1"/>
  <c r="N651" i="7"/>
  <c r="P651" i="7" s="1"/>
  <c r="N546" i="7"/>
  <c r="P546" i="7" s="1"/>
  <c r="N587" i="7"/>
  <c r="P587" i="7" s="1"/>
  <c r="N592" i="7"/>
  <c r="P592" i="7" s="1"/>
  <c r="N625" i="7"/>
  <c r="P625" i="7" s="1"/>
  <c r="N672" i="7"/>
  <c r="P672" i="7" s="1"/>
  <c r="N521" i="7"/>
  <c r="P521" i="7" s="1"/>
  <c r="N545" i="7"/>
  <c r="P545" i="7" s="1"/>
  <c r="N599" i="7"/>
  <c r="P599" i="7" s="1"/>
  <c r="N633" i="7"/>
  <c r="P633" i="7" s="1"/>
  <c r="N649" i="7"/>
  <c r="P649" i="7" s="1"/>
  <c r="N532" i="7"/>
  <c r="P532" i="7" s="1"/>
  <c r="N585" i="7"/>
  <c r="P585" i="7" s="1"/>
  <c r="N598" i="7"/>
  <c r="P598" i="7" s="1"/>
  <c r="N621" i="7"/>
  <c r="P621" i="7" s="1"/>
  <c r="N613" i="7"/>
  <c r="P613" i="7" s="1"/>
  <c r="N632" i="7"/>
  <c r="P632" i="7" s="1"/>
  <c r="N643" i="7"/>
  <c r="P643" i="7" s="1"/>
  <c r="N648" i="7"/>
  <c r="P648" i="7" s="1"/>
  <c r="N661" i="7"/>
  <c r="P661" i="7" s="1"/>
  <c r="N670" i="7"/>
  <c r="P670" i="7" s="1"/>
  <c r="N537" i="7"/>
  <c r="P537" i="7" s="1"/>
  <c r="N577" i="7"/>
  <c r="P577" i="7" s="1"/>
  <c r="N582" i="7"/>
  <c r="P582" i="7" s="1"/>
  <c r="N595" i="7"/>
  <c r="P595" i="7" s="1"/>
  <c r="N629" i="7"/>
  <c r="P629" i="7" s="1"/>
  <c r="N640" i="7"/>
  <c r="P640" i="7" s="1"/>
  <c r="N658" i="7"/>
  <c r="P658" i="7" s="1"/>
  <c r="N524" i="7"/>
  <c r="P524" i="7" s="1"/>
  <c r="N536" i="7"/>
  <c r="P536" i="7" s="1"/>
  <c r="N576" i="7"/>
  <c r="P576" i="7" s="1"/>
  <c r="N591" i="7"/>
  <c r="P591" i="7" s="1"/>
  <c r="N594" i="7"/>
  <c r="P594" i="7" s="1"/>
  <c r="N639" i="7"/>
  <c r="P639" i="7" s="1"/>
  <c r="N668" i="7"/>
  <c r="P668" i="7" s="1"/>
  <c r="N523" i="7"/>
  <c r="P523" i="7" s="1"/>
  <c r="N547" i="7"/>
  <c r="P547" i="7" s="1"/>
  <c r="N575" i="7"/>
  <c r="P575" i="7" s="1"/>
  <c r="N601" i="7"/>
  <c r="P601" i="7" s="1"/>
  <c r="N616" i="7"/>
  <c r="P616" i="7" s="1"/>
  <c r="N664" i="7"/>
  <c r="P664" i="7" s="1"/>
  <c r="N678" i="7"/>
  <c r="P678" i="7" s="1"/>
  <c r="N522" i="7"/>
  <c r="P522" i="7" s="1"/>
  <c r="N554" i="7"/>
  <c r="P554" i="7" s="1"/>
  <c r="N564" i="7"/>
  <c r="P564" i="7" s="1"/>
  <c r="N600" i="7"/>
  <c r="P600" i="7" s="1"/>
  <c r="N615" i="7"/>
  <c r="P615" i="7" s="1"/>
  <c r="N637" i="7"/>
  <c r="P637" i="7" s="1"/>
  <c r="N663" i="7"/>
  <c r="P663" i="7" s="1"/>
  <c r="N533" i="7"/>
  <c r="P533" i="7" s="1"/>
  <c r="N573" i="7"/>
  <c r="P573" i="7" s="1"/>
  <c r="N586" i="7"/>
  <c r="P586" i="7" s="1"/>
  <c r="N622" i="7"/>
  <c r="P622" i="7" s="1"/>
  <c r="N635" i="7"/>
  <c r="P635" i="7" s="1"/>
  <c r="N662" i="7"/>
  <c r="P662" i="7" s="1"/>
  <c r="N552" i="7"/>
  <c r="P552" i="7" s="1"/>
  <c r="N544" i="7"/>
  <c r="P544" i="7" s="1"/>
  <c r="N519" i="7"/>
  <c r="N551" i="7"/>
  <c r="P551" i="7" s="1"/>
  <c r="N543" i="7"/>
  <c r="P543" i="7" s="1"/>
  <c r="N571" i="7"/>
  <c r="P571" i="7" s="1"/>
  <c r="N561" i="7"/>
  <c r="P561" i="7" s="1"/>
  <c r="N597" i="7"/>
  <c r="P597" i="7" s="1"/>
  <c r="N620" i="7"/>
  <c r="P620" i="7" s="1"/>
  <c r="N612" i="7"/>
  <c r="P612" i="7" s="1"/>
  <c r="N631" i="7"/>
  <c r="P631" i="7" s="1"/>
  <c r="N642" i="7"/>
  <c r="P642" i="7" s="1"/>
  <c r="N655" i="7"/>
  <c r="P655" i="7" s="1"/>
  <c r="N647" i="7"/>
  <c r="P647" i="7" s="1"/>
  <c r="N660" i="7"/>
  <c r="P660" i="7" s="1"/>
  <c r="N669" i="7"/>
  <c r="P669" i="7" s="1"/>
  <c r="N557" i="7"/>
  <c r="P557" i="7" s="1"/>
  <c r="N567" i="7"/>
  <c r="P567" i="7" s="1"/>
  <c r="N610" i="7"/>
  <c r="P610" i="7" s="1"/>
  <c r="N653" i="7"/>
  <c r="P653" i="7" s="1"/>
  <c r="N680" i="7"/>
  <c r="P680" i="7" s="1"/>
  <c r="N556" i="7"/>
  <c r="P556" i="7" s="1"/>
  <c r="N589" i="7"/>
  <c r="P589" i="7" s="1"/>
  <c r="N652" i="7"/>
  <c r="P652" i="7" s="1"/>
  <c r="N679" i="7"/>
  <c r="P679" i="7" s="1"/>
  <c r="N535" i="7"/>
  <c r="P535" i="7" s="1"/>
  <c r="N565" i="7"/>
  <c r="P565" i="7" s="1"/>
  <c r="N593" i="7"/>
  <c r="P593" i="7" s="1"/>
  <c r="N627" i="7"/>
  <c r="P627" i="7" s="1"/>
  <c r="N673" i="7"/>
  <c r="P673" i="7" s="1"/>
  <c r="N574" i="7"/>
  <c r="P574" i="7" s="1"/>
  <c r="N650" i="7"/>
  <c r="P650" i="7" s="1"/>
  <c r="N677" i="7"/>
  <c r="P677" i="7" s="1"/>
  <c r="N553" i="7"/>
  <c r="P553" i="7" s="1"/>
  <c r="N563" i="7"/>
  <c r="P563" i="7" s="1"/>
  <c r="N614" i="7"/>
  <c r="P614" i="7" s="1"/>
  <c r="N676" i="7"/>
  <c r="P676" i="7" s="1"/>
  <c r="N511" i="7"/>
  <c r="P511" i="7" s="1"/>
  <c r="N526" i="7"/>
  <c r="P526" i="7" s="1"/>
  <c r="N538" i="7"/>
  <c r="P538" i="7" s="1"/>
  <c r="N550" i="7"/>
  <c r="P550" i="7" s="1"/>
  <c r="N542" i="7"/>
  <c r="P542" i="7" s="1"/>
  <c r="N570" i="7"/>
  <c r="P570" i="7" s="1"/>
  <c r="N560" i="7"/>
  <c r="P560" i="7" s="1"/>
  <c r="N583" i="7"/>
  <c r="P583" i="7" s="1"/>
  <c r="N596" i="7"/>
  <c r="P596" i="7" s="1"/>
  <c r="N619" i="7"/>
  <c r="P619" i="7" s="1"/>
  <c r="N611" i="7"/>
  <c r="P611" i="7" s="1"/>
  <c r="N630" i="7"/>
  <c r="P630" i="7" s="1"/>
  <c r="N641" i="7"/>
  <c r="P641" i="7" s="1"/>
  <c r="N654" i="7"/>
  <c r="P654" i="7" s="1"/>
  <c r="N657" i="7"/>
  <c r="P657" i="7" s="1"/>
  <c r="N659" i="7"/>
  <c r="P659" i="7" s="1"/>
  <c r="L688" i="7"/>
  <c r="L288" i="7"/>
  <c r="L292" i="7"/>
  <c r="P520" i="7"/>
  <c r="P293" i="7"/>
  <c r="P295" i="7" s="1"/>
  <c r="N295" i="7"/>
  <c r="L290" i="7"/>
  <c r="P541" i="7"/>
  <c r="P646" i="7"/>
  <c r="N688" i="7"/>
  <c r="P685" i="7"/>
  <c r="L284" i="7"/>
  <c r="L286" i="7"/>
  <c r="L681" i="7"/>
  <c r="L527" i="7"/>
  <c r="L295" i="7"/>
  <c r="N681" i="7" l="1"/>
  <c r="N527" i="7"/>
  <c r="P688" i="7"/>
  <c r="P681" i="7"/>
  <c r="P519" i="7"/>
  <c r="P527" i="7" s="1"/>
  <c r="P507" i="7"/>
  <c r="P285" i="7"/>
  <c r="P286" i="7" s="1"/>
  <c r="N286" i="7"/>
  <c r="N292" i="7"/>
  <c r="P291" i="7"/>
  <c r="P292" i="7" s="1"/>
  <c r="P530" i="7"/>
  <c r="P289" i="7"/>
  <c r="P290" i="7" s="1"/>
  <c r="N290" i="7"/>
  <c r="N288" i="7"/>
  <c r="P287" i="7"/>
  <c r="P288" i="7" s="1"/>
  <c r="P283" i="7"/>
  <c r="P284" i="7" s="1"/>
  <c r="N284" i="7"/>
  <c r="N273" i="7"/>
  <c r="N269" i="7"/>
  <c r="N265" i="7"/>
  <c r="N261" i="7"/>
  <c r="N256" i="7"/>
  <c r="L253" i="7"/>
  <c r="N251" i="7"/>
  <c r="E251" i="7"/>
  <c r="L242" i="7"/>
  <c r="P219" i="7"/>
  <c r="P220" i="7"/>
  <c r="P221" i="7"/>
  <c r="P222" i="7"/>
  <c r="P223" i="7"/>
  <c r="P224" i="7"/>
  <c r="P225" i="7"/>
  <c r="P226" i="7"/>
  <c r="P227" i="7"/>
  <c r="P207" i="7"/>
  <c r="P209" i="7"/>
  <c r="P211" i="7"/>
  <c r="P212" i="7"/>
  <c r="P213" i="7"/>
  <c r="P214" i="7"/>
  <c r="P215" i="7"/>
  <c r="P216" i="7"/>
  <c r="P195" i="7"/>
  <c r="P197" i="7"/>
  <c r="P199" i="7"/>
  <c r="P200" i="7"/>
  <c r="P201" i="7"/>
  <c r="P202" i="7"/>
  <c r="P203" i="7"/>
  <c r="P204" i="7"/>
  <c r="P183" i="7"/>
  <c r="P184" i="7"/>
  <c r="P187" i="7"/>
  <c r="P189" i="7"/>
  <c r="P190" i="7"/>
  <c r="P191" i="7"/>
  <c r="P192" i="7"/>
  <c r="P171" i="7"/>
  <c r="P172" i="7"/>
  <c r="P175" i="7"/>
  <c r="P176" i="7"/>
  <c r="P177" i="7"/>
  <c r="P178" i="7"/>
  <c r="P179" i="7"/>
  <c r="P180" i="7"/>
  <c r="P159" i="7"/>
  <c r="P162" i="7"/>
  <c r="P163" i="7"/>
  <c r="P164" i="7"/>
  <c r="P165" i="7"/>
  <c r="P166" i="7"/>
  <c r="P167" i="7"/>
  <c r="P168" i="7"/>
  <c r="E207" i="7"/>
  <c r="E208" i="7"/>
  <c r="E209" i="7"/>
  <c r="E210" i="7"/>
  <c r="E211" i="7"/>
  <c r="E212" i="7"/>
  <c r="E213" i="7"/>
  <c r="E214" i="7"/>
  <c r="E215" i="7"/>
  <c r="E216" i="7"/>
  <c r="E206" i="7"/>
  <c r="E120" i="7"/>
  <c r="E114" i="7"/>
  <c r="E115" i="7"/>
  <c r="E145" i="7"/>
  <c r="G124" i="11"/>
  <c r="G123" i="11"/>
  <c r="G134" i="11"/>
  <c r="G129" i="11"/>
  <c r="G130" i="11"/>
  <c r="G131" i="11"/>
  <c r="G128" i="11"/>
  <c r="G133" i="11"/>
  <c r="I363" i="11"/>
  <c r="G342" i="11"/>
  <c r="L234" i="7" s="1"/>
  <c r="G200" i="11"/>
  <c r="G197" i="11"/>
  <c r="G196" i="11"/>
  <c r="G109" i="11"/>
  <c r="G108" i="11"/>
  <c r="G106" i="11"/>
  <c r="G105" i="11"/>
  <c r="G103" i="11"/>
  <c r="G102" i="11"/>
  <c r="G100" i="11"/>
  <c r="G99" i="11"/>
  <c r="E291" i="7"/>
  <c r="E289" i="7"/>
  <c r="E287" i="7"/>
  <c r="E285" i="7"/>
  <c r="E283" i="7"/>
  <c r="E294" i="7"/>
  <c r="E279" i="7"/>
  <c r="E271" i="7"/>
  <c r="E267" i="7"/>
  <c r="E263" i="7"/>
  <c r="E259" i="7"/>
  <c r="E253" i="7"/>
  <c r="E219" i="7"/>
  <c r="E220" i="7"/>
  <c r="E221" i="7"/>
  <c r="E222" i="7"/>
  <c r="E223" i="7"/>
  <c r="E224" i="7"/>
  <c r="E225" i="7"/>
  <c r="E226" i="7"/>
  <c r="E227" i="7"/>
  <c r="E218" i="7"/>
  <c r="E203" i="7"/>
  <c r="E204" i="7"/>
  <c r="E195" i="7"/>
  <c r="E196" i="7"/>
  <c r="E197" i="7"/>
  <c r="E198" i="7"/>
  <c r="E199" i="7"/>
  <c r="E200" i="7"/>
  <c r="E201" i="7"/>
  <c r="E202" i="7"/>
  <c r="E194" i="7"/>
  <c r="E183" i="7"/>
  <c r="E184" i="7"/>
  <c r="E185" i="7"/>
  <c r="E186" i="7"/>
  <c r="E187" i="7"/>
  <c r="E188" i="7"/>
  <c r="E189" i="7"/>
  <c r="E190" i="7"/>
  <c r="E191" i="7"/>
  <c r="E192" i="7"/>
  <c r="E182" i="7"/>
  <c r="E171" i="7"/>
  <c r="E172" i="7"/>
  <c r="E173" i="7"/>
  <c r="E174" i="7"/>
  <c r="E175" i="7"/>
  <c r="E176" i="7"/>
  <c r="E177" i="7"/>
  <c r="E178" i="7"/>
  <c r="E179" i="7"/>
  <c r="E180" i="7"/>
  <c r="E170" i="7"/>
  <c r="E165" i="7"/>
  <c r="E166" i="7"/>
  <c r="E167" i="7"/>
  <c r="E168" i="7"/>
  <c r="E159" i="7"/>
  <c r="E160" i="7"/>
  <c r="E161" i="7"/>
  <c r="E162" i="7"/>
  <c r="E163" i="7"/>
  <c r="E164" i="7"/>
  <c r="E158" i="7"/>
  <c r="E131" i="7"/>
  <c r="E126" i="7"/>
  <c r="E127" i="7"/>
  <c r="E93" i="7"/>
  <c r="E84" i="7"/>
  <c r="E80" i="7"/>
  <c r="E76" i="7"/>
  <c r="E77" i="7"/>
  <c r="G89" i="11"/>
  <c r="G93" i="11"/>
  <c r="E678" i="7"/>
  <c r="E679" i="7"/>
  <c r="E680" i="7"/>
  <c r="E671" i="7"/>
  <c r="E672" i="7"/>
  <c r="E673" i="7"/>
  <c r="E664" i="7"/>
  <c r="E665" i="7"/>
  <c r="E666" i="7"/>
  <c r="E653" i="7"/>
  <c r="E654" i="7"/>
  <c r="E655" i="7"/>
  <c r="E641" i="7"/>
  <c r="E642" i="7"/>
  <c r="E643" i="7"/>
  <c r="E631" i="7"/>
  <c r="E632" i="7"/>
  <c r="E633" i="7"/>
  <c r="E620" i="7"/>
  <c r="E621" i="7"/>
  <c r="E622" i="7"/>
  <c r="E599" i="7"/>
  <c r="E600" i="7"/>
  <c r="E601" i="7"/>
  <c r="E587" i="7"/>
  <c r="E588" i="7"/>
  <c r="E589" i="7"/>
  <c r="E575" i="7"/>
  <c r="E576" i="7"/>
  <c r="E577" i="7"/>
  <c r="E565" i="7"/>
  <c r="E566" i="7"/>
  <c r="E567" i="7"/>
  <c r="E555" i="7"/>
  <c r="E556" i="7"/>
  <c r="E557" i="7"/>
  <c r="E536" i="7"/>
  <c r="E537" i="7"/>
  <c r="E538" i="7"/>
  <c r="E525" i="7"/>
  <c r="E526" i="7"/>
  <c r="E321" i="7"/>
  <c r="E320" i="7"/>
  <c r="E318" i="7"/>
  <c r="E491" i="7"/>
  <c r="E492" i="7"/>
  <c r="E493" i="7"/>
  <c r="E484" i="7"/>
  <c r="E485" i="7"/>
  <c r="E486" i="7"/>
  <c r="E477" i="7"/>
  <c r="E478" i="7"/>
  <c r="E479" i="7"/>
  <c r="E466" i="7"/>
  <c r="E467" i="7"/>
  <c r="E468" i="7"/>
  <c r="E454" i="7"/>
  <c r="E455" i="7"/>
  <c r="E456" i="7"/>
  <c r="E444" i="7"/>
  <c r="E445" i="7"/>
  <c r="E446" i="7"/>
  <c r="E433" i="7"/>
  <c r="E434" i="7"/>
  <c r="E435" i="7"/>
  <c r="E412" i="7"/>
  <c r="E413" i="7"/>
  <c r="E414" i="7"/>
  <c r="E400" i="7"/>
  <c r="E401" i="7"/>
  <c r="E402" i="7"/>
  <c r="E388" i="7"/>
  <c r="E389" i="7"/>
  <c r="E390" i="7"/>
  <c r="E378" i="7"/>
  <c r="E379" i="7"/>
  <c r="E380" i="7"/>
  <c r="E368" i="7"/>
  <c r="E369" i="7"/>
  <c r="E370" i="7"/>
  <c r="E349" i="7"/>
  <c r="E350" i="7"/>
  <c r="E351" i="7"/>
  <c r="E339" i="7"/>
  <c r="E338" i="7"/>
  <c r="G153" i="4"/>
  <c r="G152" i="4"/>
  <c r="G151" i="4"/>
  <c r="J151" i="4" s="1"/>
  <c r="G142" i="4"/>
  <c r="G141" i="4"/>
  <c r="G140" i="4"/>
  <c r="G132" i="4"/>
  <c r="G131" i="4"/>
  <c r="G130" i="4"/>
  <c r="G121" i="4"/>
  <c r="G120" i="4"/>
  <c r="G119" i="4"/>
  <c r="G100" i="4"/>
  <c r="G99" i="4"/>
  <c r="G98" i="4"/>
  <c r="G88" i="4"/>
  <c r="G87" i="4"/>
  <c r="J87" i="4" s="1"/>
  <c r="G86" i="4"/>
  <c r="G75" i="4"/>
  <c r="G74" i="4"/>
  <c r="G73" i="4"/>
  <c r="G164" i="4"/>
  <c r="G163" i="4"/>
  <c r="G162" i="4"/>
  <c r="G171" i="4"/>
  <c r="G170" i="4"/>
  <c r="G169" i="4"/>
  <c r="G179" i="4"/>
  <c r="J179" i="4" s="1"/>
  <c r="G178" i="4"/>
  <c r="G177" i="4"/>
  <c r="G65" i="4"/>
  <c r="G64" i="4"/>
  <c r="G63" i="4"/>
  <c r="G20" i="4"/>
  <c r="G55" i="4"/>
  <c r="J55" i="4" s="1"/>
  <c r="G54" i="4"/>
  <c r="G53" i="4"/>
  <c r="G37" i="4"/>
  <c r="G36" i="4"/>
  <c r="G35" i="4"/>
  <c r="G312" i="11"/>
  <c r="G311" i="11"/>
  <c r="G310" i="11"/>
  <c r="G309" i="11"/>
  <c r="G301" i="11"/>
  <c r="G302" i="11"/>
  <c r="G303" i="11"/>
  <c r="G300" i="11"/>
  <c r="G256" i="11"/>
  <c r="G255" i="11"/>
  <c r="G254" i="11"/>
  <c r="G253" i="11"/>
  <c r="G247" i="11"/>
  <c r="G246" i="11"/>
  <c r="G245" i="11"/>
  <c r="G244" i="11"/>
  <c r="G187" i="11"/>
  <c r="G186" i="11"/>
  <c r="G92" i="11"/>
  <c r="G90" i="11"/>
  <c r="G83" i="11"/>
  <c r="G86" i="11"/>
  <c r="G82" i="11"/>
  <c r="G78" i="11"/>
  <c r="G79" i="11"/>
  <c r="G77" i="11"/>
  <c r="G24" i="11"/>
  <c r="G25" i="11"/>
  <c r="G23" i="11"/>
  <c r="G17" i="11"/>
  <c r="G16" i="11"/>
  <c r="G15" i="11"/>
  <c r="G292" i="11"/>
  <c r="G293" i="11"/>
  <c r="G294" i="11"/>
  <c r="G291" i="11"/>
  <c r="G236" i="11"/>
  <c r="P253" i="7" l="1"/>
  <c r="N253" i="7"/>
  <c r="N263" i="7"/>
  <c r="P263" i="7" s="1"/>
  <c r="N279" i="7"/>
  <c r="P279" i="7" s="1"/>
  <c r="N259" i="7"/>
  <c r="P259" i="7" s="1"/>
  <c r="N267" i="7"/>
  <c r="P267" i="7" s="1"/>
  <c r="N271" i="7"/>
  <c r="P271" i="7" s="1"/>
  <c r="N277" i="7"/>
  <c r="P277" i="7" s="1"/>
  <c r="N276" i="7"/>
  <c r="P276" i="7" s="1"/>
  <c r="N275" i="7"/>
  <c r="P275" i="7" s="1"/>
  <c r="N274" i="7"/>
  <c r="P274" i="7" s="1"/>
  <c r="O234" i="7"/>
  <c r="P234" i="7" s="1"/>
  <c r="N270" i="7"/>
  <c r="P270" i="7" s="1"/>
  <c r="N266" i="7"/>
  <c r="P266" i="7" s="1"/>
  <c r="N262" i="7"/>
  <c r="P262" i="7" s="1"/>
  <c r="N258" i="7"/>
  <c r="P258" i="7" s="1"/>
  <c r="N257" i="7"/>
  <c r="P257" i="7" s="1"/>
  <c r="N255" i="7"/>
  <c r="P255" i="7" s="1"/>
  <c r="N252" i="7"/>
  <c r="P252" i="7" s="1"/>
  <c r="N242" i="7"/>
  <c r="P242" i="7" s="1"/>
  <c r="P273" i="7"/>
  <c r="P194" i="7"/>
  <c r="N228" i="7"/>
  <c r="P218" i="7"/>
  <c r="P228" i="7" s="1"/>
  <c r="P265" i="7"/>
  <c r="P170" i="7"/>
  <c r="P269" i="7"/>
  <c r="P206" i="7"/>
  <c r="P256" i="7"/>
  <c r="P182" i="7"/>
  <c r="P158" i="7"/>
  <c r="P251" i="7"/>
  <c r="P261" i="7"/>
  <c r="J121" i="4"/>
  <c r="K121" i="4" s="1"/>
  <c r="L280" i="7"/>
  <c r="L272" i="7"/>
  <c r="L268" i="7"/>
  <c r="L254" i="7"/>
  <c r="L260" i="7"/>
  <c r="L264" i="7"/>
  <c r="L228" i="7"/>
  <c r="H379" i="11" s="1"/>
  <c r="J153" i="4"/>
  <c r="K153" i="4" s="1"/>
  <c r="J152" i="4"/>
  <c r="K152" i="4" s="1"/>
  <c r="K151" i="4"/>
  <c r="J142" i="4"/>
  <c r="K142" i="4" s="1"/>
  <c r="J141" i="4"/>
  <c r="K141" i="4" s="1"/>
  <c r="J140" i="4"/>
  <c r="K140" i="4" s="1"/>
  <c r="J132" i="4"/>
  <c r="K132" i="4" s="1"/>
  <c r="J131" i="4"/>
  <c r="K131" i="4" s="1"/>
  <c r="J130" i="4"/>
  <c r="K130" i="4" s="1"/>
  <c r="J120" i="4"/>
  <c r="K120" i="4" s="1"/>
  <c r="J119" i="4"/>
  <c r="K119" i="4" s="1"/>
  <c r="J100" i="4"/>
  <c r="K100" i="4" s="1"/>
  <c r="J99" i="4"/>
  <c r="K99" i="4" s="1"/>
  <c r="J98" i="4"/>
  <c r="K98" i="4" s="1"/>
  <c r="J88" i="4"/>
  <c r="K88" i="4" s="1"/>
  <c r="K87" i="4"/>
  <c r="J86" i="4"/>
  <c r="K86" i="4" s="1"/>
  <c r="J75" i="4"/>
  <c r="K75" i="4" s="1"/>
  <c r="J74" i="4"/>
  <c r="K74" i="4" s="1"/>
  <c r="J73" i="4"/>
  <c r="K73" i="4" s="1"/>
  <c r="J164" i="4"/>
  <c r="K164" i="4" s="1"/>
  <c r="J163" i="4"/>
  <c r="K163" i="4" s="1"/>
  <c r="J162" i="4"/>
  <c r="K162" i="4" s="1"/>
  <c r="J171" i="4"/>
  <c r="K171" i="4" s="1"/>
  <c r="J170" i="4"/>
  <c r="K170" i="4" s="1"/>
  <c r="J169" i="4"/>
  <c r="K169" i="4" s="1"/>
  <c r="K179" i="4"/>
  <c r="J178" i="4"/>
  <c r="K178" i="4" s="1"/>
  <c r="J177" i="4"/>
  <c r="K177" i="4" s="1"/>
  <c r="J65" i="4"/>
  <c r="K65" i="4" s="1"/>
  <c r="J64" i="4"/>
  <c r="K64" i="4" s="1"/>
  <c r="J63" i="4"/>
  <c r="K63" i="4" s="1"/>
  <c r="J20" i="4"/>
  <c r="K20" i="4" s="1"/>
  <c r="K55" i="4"/>
  <c r="J54" i="4"/>
  <c r="K54" i="4" s="1"/>
  <c r="J53" i="4"/>
  <c r="K53" i="4" s="1"/>
  <c r="J37" i="4"/>
  <c r="K37" i="4" s="1"/>
  <c r="J36" i="4"/>
  <c r="K36" i="4" s="1"/>
  <c r="J35" i="4"/>
  <c r="K35" i="4" s="1"/>
  <c r="N264" i="7" l="1"/>
  <c r="N280" i="7"/>
  <c r="N272" i="7"/>
  <c r="N268" i="7"/>
  <c r="N260" i="7"/>
  <c r="N254" i="7"/>
  <c r="P280" i="7"/>
  <c r="P272" i="7"/>
  <c r="P268" i="7"/>
  <c r="P264" i="7"/>
  <c r="P260" i="7"/>
  <c r="P254" i="7"/>
  <c r="M121" i="4"/>
  <c r="L435" i="7" s="1"/>
  <c r="L121" i="4"/>
  <c r="L296" i="7"/>
  <c r="G16" i="8" s="1"/>
  <c r="M153" i="4"/>
  <c r="L468" i="7" s="1"/>
  <c r="L153" i="4"/>
  <c r="M152" i="4"/>
  <c r="L467" i="7" s="1"/>
  <c r="L152" i="4"/>
  <c r="M151" i="4"/>
  <c r="L466" i="7" s="1"/>
  <c r="L151" i="4"/>
  <c r="M142" i="4"/>
  <c r="L456" i="7" s="1"/>
  <c r="L142" i="4"/>
  <c r="M141" i="4"/>
  <c r="L455" i="7" s="1"/>
  <c r="L141" i="4"/>
  <c r="M140" i="4"/>
  <c r="L454" i="7" s="1"/>
  <c r="L140" i="4"/>
  <c r="M132" i="4"/>
  <c r="L446" i="7" s="1"/>
  <c r="L132" i="4"/>
  <c r="M131" i="4"/>
  <c r="L445" i="7" s="1"/>
  <c r="L131" i="4"/>
  <c r="M130" i="4"/>
  <c r="L444" i="7" s="1"/>
  <c r="L130" i="4"/>
  <c r="M120" i="4"/>
  <c r="L434" i="7" s="1"/>
  <c r="L120" i="4"/>
  <c r="M119" i="4"/>
  <c r="L433" i="7" s="1"/>
  <c r="L119" i="4"/>
  <c r="M100" i="4"/>
  <c r="L414" i="7" s="1"/>
  <c r="L100" i="4"/>
  <c r="M99" i="4"/>
  <c r="L413" i="7" s="1"/>
  <c r="L99" i="4"/>
  <c r="M98" i="4"/>
  <c r="L412" i="7" s="1"/>
  <c r="L98" i="4"/>
  <c r="M88" i="4"/>
  <c r="L402" i="7" s="1"/>
  <c r="L88" i="4"/>
  <c r="M87" i="4"/>
  <c r="L401" i="7" s="1"/>
  <c r="L87" i="4"/>
  <c r="M86" i="4"/>
  <c r="L400" i="7" s="1"/>
  <c r="L86" i="4"/>
  <c r="M75" i="4"/>
  <c r="L390" i="7" s="1"/>
  <c r="L75" i="4"/>
  <c r="M74" i="4"/>
  <c r="L389" i="7" s="1"/>
  <c r="L74" i="4"/>
  <c r="M73" i="4"/>
  <c r="L388" i="7" s="1"/>
  <c r="L73" i="4"/>
  <c r="M164" i="4"/>
  <c r="L479" i="7" s="1"/>
  <c r="L164" i="4"/>
  <c r="M163" i="4"/>
  <c r="L478" i="7" s="1"/>
  <c r="L163" i="4"/>
  <c r="M162" i="4"/>
  <c r="L477" i="7" s="1"/>
  <c r="L162" i="4"/>
  <c r="M171" i="4"/>
  <c r="L486" i="7" s="1"/>
  <c r="L171" i="4"/>
  <c r="M170" i="4"/>
  <c r="L485" i="7" s="1"/>
  <c r="L170" i="4"/>
  <c r="M169" i="4"/>
  <c r="L484" i="7" s="1"/>
  <c r="L169" i="4"/>
  <c r="M179" i="4"/>
  <c r="L493" i="7" s="1"/>
  <c r="L179" i="4"/>
  <c r="M178" i="4"/>
  <c r="L492" i="7" s="1"/>
  <c r="L178" i="4"/>
  <c r="M177" i="4"/>
  <c r="L491" i="7" s="1"/>
  <c r="L177" i="4"/>
  <c r="M65" i="4"/>
  <c r="L380" i="7" s="1"/>
  <c r="L65" i="4"/>
  <c r="M64" i="4"/>
  <c r="L379" i="7" s="1"/>
  <c r="L64" i="4"/>
  <c r="M63" i="4"/>
  <c r="L378" i="7" s="1"/>
  <c r="L63" i="4"/>
  <c r="M20" i="4"/>
  <c r="L338" i="7" s="1"/>
  <c r="L20" i="4"/>
  <c r="M55" i="4"/>
  <c r="L370" i="7" s="1"/>
  <c r="L55" i="4"/>
  <c r="M54" i="4"/>
  <c r="L369" i="7" s="1"/>
  <c r="L54" i="4"/>
  <c r="M53" i="4"/>
  <c r="L368" i="7" s="1"/>
  <c r="L53" i="4"/>
  <c r="M37" i="4"/>
  <c r="L351" i="7" s="1"/>
  <c r="L37" i="4"/>
  <c r="M36" i="4"/>
  <c r="L350" i="7" s="1"/>
  <c r="L36" i="4"/>
  <c r="M35" i="4"/>
  <c r="L349" i="7" s="1"/>
  <c r="L35" i="4"/>
  <c r="N296" i="7" l="1"/>
  <c r="P296" i="7"/>
  <c r="N492" i="7"/>
  <c r="P492" i="7" s="1"/>
  <c r="N388" i="7"/>
  <c r="P388" i="7" s="1"/>
  <c r="N456" i="7"/>
  <c r="P456" i="7" s="1"/>
  <c r="N369" i="7"/>
  <c r="P369" i="7" s="1"/>
  <c r="P493" i="7"/>
  <c r="N493" i="7"/>
  <c r="N402" i="7"/>
  <c r="P402" i="7" s="1"/>
  <c r="N466" i="7"/>
  <c r="P466" i="7" s="1"/>
  <c r="N368" i="7"/>
  <c r="P368" i="7" s="1"/>
  <c r="N414" i="7"/>
  <c r="P414" i="7" s="1"/>
  <c r="N349" i="7"/>
  <c r="P349" i="7" s="1"/>
  <c r="N477" i="7"/>
  <c r="P477" i="7" s="1"/>
  <c r="N446" i="7"/>
  <c r="P446" i="7" s="1"/>
  <c r="N350" i="7"/>
  <c r="P350" i="7" s="1"/>
  <c r="N484" i="7"/>
  <c r="P484" i="7" s="1"/>
  <c r="N454" i="7"/>
  <c r="P454" i="7" s="1"/>
  <c r="N486" i="7"/>
  <c r="P486" i="7" s="1"/>
  <c r="N401" i="7"/>
  <c r="P401" i="7" s="1"/>
  <c r="N379" i="7"/>
  <c r="P379" i="7" s="1"/>
  <c r="N389" i="7"/>
  <c r="P389" i="7" s="1"/>
  <c r="N433" i="7"/>
  <c r="P433" i="7" s="1"/>
  <c r="N435" i="7"/>
  <c r="P435" i="7" s="1"/>
  <c r="N370" i="7"/>
  <c r="P370" i="7" s="1"/>
  <c r="N380" i="7"/>
  <c r="P380" i="7" s="1"/>
  <c r="N478" i="7"/>
  <c r="P478" i="7" s="1"/>
  <c r="P390" i="7"/>
  <c r="N390" i="7"/>
  <c r="N412" i="7"/>
  <c r="P412" i="7" s="1"/>
  <c r="N434" i="7"/>
  <c r="P434" i="7" s="1"/>
  <c r="N467" i="7"/>
  <c r="P467" i="7" s="1"/>
  <c r="N378" i="7"/>
  <c r="P378" i="7" s="1"/>
  <c r="N445" i="7"/>
  <c r="P445" i="7" s="1"/>
  <c r="N351" i="7"/>
  <c r="P351" i="7" s="1"/>
  <c r="N338" i="7"/>
  <c r="P338" i="7" s="1"/>
  <c r="N491" i="7"/>
  <c r="P491" i="7" s="1"/>
  <c r="N485" i="7"/>
  <c r="P485" i="7" s="1"/>
  <c r="N479" i="7"/>
  <c r="P479" i="7" s="1"/>
  <c r="N400" i="7"/>
  <c r="P400" i="7" s="1"/>
  <c r="N413" i="7"/>
  <c r="P413" i="7" s="1"/>
  <c r="N444" i="7"/>
  <c r="P444" i="7" s="1"/>
  <c r="N455" i="7"/>
  <c r="P455" i="7" s="1"/>
  <c r="N468" i="7"/>
  <c r="P468" i="7" s="1"/>
  <c r="G237" i="11"/>
  <c r="G238" i="11"/>
  <c r="G235" i="11"/>
  <c r="G179" i="11" l="1"/>
  <c r="G180" i="11"/>
  <c r="G174" i="11"/>
  <c r="I174" i="11" s="1"/>
  <c r="L29" i="7" s="1"/>
  <c r="D172" i="11"/>
  <c r="G172" i="11" s="1"/>
  <c r="I172" i="11" s="1"/>
  <c r="L27" i="7" s="1"/>
  <c r="D175" i="11"/>
  <c r="G175" i="11" s="1"/>
  <c r="I175" i="11" s="1"/>
  <c r="L30" i="7" s="1"/>
  <c r="D177" i="11"/>
  <c r="G177" i="11" s="1"/>
  <c r="I177" i="11" s="1"/>
  <c r="L32" i="7" s="1"/>
  <c r="G171" i="11"/>
  <c r="I171" i="11" s="1"/>
  <c r="L26" i="7" s="1"/>
  <c r="N26" i="7" s="1"/>
  <c r="I7" i="12"/>
  <c r="I8" i="12" s="1"/>
  <c r="D11" i="4" s="1"/>
  <c r="H60" i="11"/>
  <c r="G71" i="11"/>
  <c r="G69" i="11"/>
  <c r="G68" i="11"/>
  <c r="G65" i="11"/>
  <c r="I65" i="11" s="1"/>
  <c r="L17" i="7" s="1"/>
  <c r="G66" i="11"/>
  <c r="I66" i="11" s="1"/>
  <c r="L18" i="7" s="1"/>
  <c r="G64" i="11"/>
  <c r="I64" i="11" s="1"/>
  <c r="L16" i="7" s="1"/>
  <c r="G61" i="11"/>
  <c r="I61" i="11" s="1"/>
  <c r="L13" i="7" s="1"/>
  <c r="G62" i="11"/>
  <c r="I62" i="11" s="1"/>
  <c r="L14" i="7" s="1"/>
  <c r="G60" i="11"/>
  <c r="I60" i="11" s="1"/>
  <c r="L12" i="7" s="1"/>
  <c r="N12" i="7" s="1"/>
  <c r="H9" i="11"/>
  <c r="H8" i="11"/>
  <c r="G9" i="11"/>
  <c r="I9" i="11" s="1"/>
  <c r="L9" i="7" s="1"/>
  <c r="N9" i="7" s="1"/>
  <c r="G8" i="11"/>
  <c r="I8" i="11" s="1"/>
  <c r="H16" i="11" l="1"/>
  <c r="H15" i="11"/>
  <c r="E116" i="4"/>
  <c r="L617" i="7" s="1"/>
  <c r="N617" i="7" s="1"/>
  <c r="P617" i="7" s="1"/>
  <c r="L513" i="7"/>
  <c r="N16" i="7"/>
  <c r="P16" i="7" s="1"/>
  <c r="N18" i="7"/>
  <c r="P18" i="7" s="1"/>
  <c r="N17" i="7"/>
  <c r="P17" i="7" s="1"/>
  <c r="N32" i="7"/>
  <c r="P32" i="7" s="1"/>
  <c r="N30" i="7"/>
  <c r="P30" i="7" s="1"/>
  <c r="N27" i="7"/>
  <c r="P27" i="7" s="1"/>
  <c r="N29" i="7"/>
  <c r="P29" i="7" s="1"/>
  <c r="N14" i="7"/>
  <c r="P14" i="7" s="1"/>
  <c r="N13" i="7"/>
  <c r="P13" i="7" s="1"/>
  <c r="P9" i="7"/>
  <c r="L8" i="7"/>
  <c r="H123" i="11"/>
  <c r="L144" i="7" s="1"/>
  <c r="H80" i="11"/>
  <c r="H129" i="11"/>
  <c r="L149" i="7" s="1"/>
  <c r="H130" i="11"/>
  <c r="L150" i="7" s="1"/>
  <c r="H128" i="11"/>
  <c r="L148" i="7" s="1"/>
  <c r="H131" i="11"/>
  <c r="L151" i="7" s="1"/>
  <c r="H64" i="11"/>
  <c r="L55" i="7"/>
  <c r="H24" i="11"/>
  <c r="L59" i="7" s="1"/>
  <c r="H25" i="11"/>
  <c r="L60" i="7" s="1"/>
  <c r="H17" i="11"/>
  <c r="L56" i="7" s="1"/>
  <c r="L54" i="7"/>
  <c r="N54" i="7" s="1"/>
  <c r="H23" i="11"/>
  <c r="H61" i="11"/>
  <c r="H62" i="11" s="1"/>
  <c r="H100" i="11"/>
  <c r="L84" i="7" s="1"/>
  <c r="H99" i="11"/>
  <c r="L83" i="7" s="1"/>
  <c r="H78" i="11"/>
  <c r="L65" i="7" s="1"/>
  <c r="H79" i="11"/>
  <c r="L66" i="7" s="1"/>
  <c r="H77" i="11"/>
  <c r="H171" i="11"/>
  <c r="H176" i="11"/>
  <c r="H172" i="11"/>
  <c r="L58" i="7" l="1"/>
  <c r="G42" i="11"/>
  <c r="N513" i="7"/>
  <c r="L514" i="7"/>
  <c r="L64" i="7"/>
  <c r="N64" i="7" s="1"/>
  <c r="N56" i="7"/>
  <c r="P56" i="7" s="1"/>
  <c r="N149" i="7"/>
  <c r="P149" i="7" s="1"/>
  <c r="N66" i="7"/>
  <c r="P66" i="7" s="1"/>
  <c r="N60" i="7"/>
  <c r="P60" i="7" s="1"/>
  <c r="N65" i="7"/>
  <c r="P65" i="7" s="1"/>
  <c r="N59" i="7"/>
  <c r="P59" i="7" s="1"/>
  <c r="N144" i="7"/>
  <c r="P144" i="7" s="1"/>
  <c r="N83" i="7"/>
  <c r="P83" i="7" s="1"/>
  <c r="N55" i="7"/>
  <c r="P55" i="7" s="1"/>
  <c r="N8" i="7"/>
  <c r="N10" i="7" s="1"/>
  <c r="N84" i="7"/>
  <c r="P84" i="7" s="1"/>
  <c r="N151" i="7"/>
  <c r="P151" i="7" s="1"/>
  <c r="N58" i="7"/>
  <c r="P58" i="7" s="1"/>
  <c r="N148" i="7"/>
  <c r="P148" i="7" s="1"/>
  <c r="N150" i="7"/>
  <c r="P150" i="7" s="1"/>
  <c r="L10" i="7"/>
  <c r="H85" i="11"/>
  <c r="L72" i="7" s="1"/>
  <c r="H87" i="11"/>
  <c r="H124" i="11"/>
  <c r="L145" i="7" s="1"/>
  <c r="H84" i="11"/>
  <c r="L71" i="7" s="1"/>
  <c r="P12" i="7"/>
  <c r="P26" i="7"/>
  <c r="L61" i="7"/>
  <c r="H174" i="11"/>
  <c r="H196" i="11" s="1"/>
  <c r="L104" i="7" s="1"/>
  <c r="H133" i="11"/>
  <c r="L153" i="7" s="1"/>
  <c r="H134" i="11"/>
  <c r="L154" i="7" s="1"/>
  <c r="H175" i="11"/>
  <c r="H65" i="11"/>
  <c r="H66" i="11" s="1"/>
  <c r="H86" i="11"/>
  <c r="L73" i="7" s="1"/>
  <c r="H103" i="11"/>
  <c r="L87" i="7" s="1"/>
  <c r="H102" i="11"/>
  <c r="L86" i="7" s="1"/>
  <c r="H82" i="11"/>
  <c r="L69" i="7" s="1"/>
  <c r="H83" i="11"/>
  <c r="L70" i="7" s="1"/>
  <c r="H177" i="11" l="1"/>
  <c r="H179" i="11"/>
  <c r="H180" i="11"/>
  <c r="P513" i="7"/>
  <c r="P514" i="7" s="1"/>
  <c r="N514" i="7"/>
  <c r="G43" i="11"/>
  <c r="L161" i="7" s="1"/>
  <c r="N161" i="7" s="1"/>
  <c r="P161" i="7" s="1"/>
  <c r="L160" i="7"/>
  <c r="N87" i="7"/>
  <c r="P87" i="7" s="1"/>
  <c r="N73" i="7"/>
  <c r="P73" i="7" s="1"/>
  <c r="N154" i="7"/>
  <c r="P154" i="7" s="1"/>
  <c r="N71" i="7"/>
  <c r="P71" i="7" s="1"/>
  <c r="N70" i="7"/>
  <c r="P70" i="7" s="1"/>
  <c r="N153" i="7"/>
  <c r="P153" i="7" s="1"/>
  <c r="N145" i="7"/>
  <c r="P145" i="7" s="1"/>
  <c r="P8" i="7"/>
  <c r="P10" i="7" s="1"/>
  <c r="N69" i="7"/>
  <c r="P69" i="7" s="1"/>
  <c r="N104" i="7"/>
  <c r="P104" i="7" s="1"/>
  <c r="N86" i="7"/>
  <c r="P86" i="7" s="1"/>
  <c r="N72" i="7"/>
  <c r="P72" i="7" s="1"/>
  <c r="H197" i="11"/>
  <c r="L105" i="7" s="1"/>
  <c r="H186" i="11"/>
  <c r="H187" i="11"/>
  <c r="L98" i="7" s="1"/>
  <c r="P54" i="7"/>
  <c r="P61" i="7" s="1"/>
  <c r="N61" i="7"/>
  <c r="P64" i="7"/>
  <c r="H118" i="11"/>
  <c r="H120" i="11"/>
  <c r="H119" i="11"/>
  <c r="H117" i="11"/>
  <c r="H116" i="11"/>
  <c r="H190" i="11"/>
  <c r="N160" i="7" l="1"/>
  <c r="L169" i="7"/>
  <c r="L97" i="7"/>
  <c r="N97" i="7" s="1"/>
  <c r="G218" i="11"/>
  <c r="L185" i="7" s="1"/>
  <c r="N98" i="7"/>
  <c r="P98" i="7" s="1"/>
  <c r="N105" i="7"/>
  <c r="P105" i="7" s="1"/>
  <c r="I179" i="11"/>
  <c r="H189" i="11"/>
  <c r="L100" i="7" s="1"/>
  <c r="G120" i="11"/>
  <c r="L142" i="7"/>
  <c r="G118" i="11"/>
  <c r="L140" i="7"/>
  <c r="G119" i="11"/>
  <c r="L141" i="7"/>
  <c r="H200" i="11"/>
  <c r="L108" i="7" s="1"/>
  <c r="L101" i="7"/>
  <c r="G117" i="11"/>
  <c r="L139" i="7"/>
  <c r="G116" i="11"/>
  <c r="L138" i="7"/>
  <c r="N138" i="7" s="1"/>
  <c r="H235" i="11"/>
  <c r="I180" i="11"/>
  <c r="L35" i="7" s="1"/>
  <c r="H199" i="11"/>
  <c r="L34" i="7" l="1"/>
  <c r="D77" i="12"/>
  <c r="L107" i="7"/>
  <c r="N107" i="7" s="1"/>
  <c r="P107" i="7" s="1"/>
  <c r="G219" i="11"/>
  <c r="N185" i="7"/>
  <c r="H52" i="11"/>
  <c r="P160" i="7"/>
  <c r="P169" i="7" s="1"/>
  <c r="N169" i="7"/>
  <c r="N139" i="7"/>
  <c r="P139" i="7" s="1"/>
  <c r="N142" i="7"/>
  <c r="P142" i="7" s="1"/>
  <c r="N101" i="7"/>
  <c r="P101" i="7" s="1"/>
  <c r="N100" i="7"/>
  <c r="N108" i="7"/>
  <c r="P108" i="7" s="1"/>
  <c r="N34" i="7"/>
  <c r="P34" i="7" s="1"/>
  <c r="N35" i="7"/>
  <c r="P35" i="7" s="1"/>
  <c r="N141" i="7"/>
  <c r="P141" i="7" s="1"/>
  <c r="N140" i="7"/>
  <c r="P140" i="7" s="1"/>
  <c r="H244" i="11"/>
  <c r="L109" i="7"/>
  <c r="H236" i="11"/>
  <c r="L155" i="7"/>
  <c r="P97" i="7"/>
  <c r="I235" i="11"/>
  <c r="H253" i="11"/>
  <c r="L117" i="7" s="1"/>
  <c r="L38" i="7" l="1"/>
  <c r="N38" i="7" s="1"/>
  <c r="H254" i="11"/>
  <c r="L118" i="7" s="1"/>
  <c r="N118" i="7" s="1"/>
  <c r="P118" i="7" s="1"/>
  <c r="H238" i="11"/>
  <c r="L112" i="7"/>
  <c r="N112" i="7" s="1"/>
  <c r="P112" i="7" s="1"/>
  <c r="G273" i="11"/>
  <c r="P185" i="7"/>
  <c r="G221" i="11"/>
  <c r="L188" i="7" s="1"/>
  <c r="N188" i="7" s="1"/>
  <c r="P188" i="7" s="1"/>
  <c r="L186" i="7"/>
  <c r="N109" i="7"/>
  <c r="P100" i="7"/>
  <c r="P109" i="7" s="1"/>
  <c r="N117" i="7"/>
  <c r="P117" i="7" s="1"/>
  <c r="I236" i="11"/>
  <c r="L39" i="7" s="1"/>
  <c r="H237" i="11"/>
  <c r="H255" i="11" s="1"/>
  <c r="L119" i="7" s="1"/>
  <c r="H291" i="11"/>
  <c r="H245" i="11"/>
  <c r="L113" i="7" s="1"/>
  <c r="G14" i="8"/>
  <c r="N155" i="7"/>
  <c r="P138" i="7"/>
  <c r="P155" i="7" s="1"/>
  <c r="G275" i="11" l="1"/>
  <c r="L198" i="7" s="1"/>
  <c r="N198" i="7" s="1"/>
  <c r="P198" i="7" s="1"/>
  <c r="L196" i="7"/>
  <c r="N186" i="7"/>
  <c r="L193" i="7"/>
  <c r="N39" i="7"/>
  <c r="P39" i="7" s="1"/>
  <c r="N113" i="7"/>
  <c r="P113" i="7" s="1"/>
  <c r="N119" i="7"/>
  <c r="P119" i="7" s="1"/>
  <c r="H246" i="11"/>
  <c r="L114" i="7" s="1"/>
  <c r="N114" i="7" s="1"/>
  <c r="H256" i="11"/>
  <c r="L120" i="7" s="1"/>
  <c r="H247" i="11"/>
  <c r="L115" i="7" s="1"/>
  <c r="I238" i="11"/>
  <c r="L41" i="7" s="1"/>
  <c r="I237" i="11"/>
  <c r="L40" i="7" s="1"/>
  <c r="P38" i="7"/>
  <c r="H300" i="11"/>
  <c r="H309" i="11"/>
  <c r="L129" i="7" s="1"/>
  <c r="H292" i="11"/>
  <c r="H310" i="11" s="1"/>
  <c r="L130" i="7" s="1"/>
  <c r="I291" i="11"/>
  <c r="H293" i="11"/>
  <c r="L44" i="7" l="1"/>
  <c r="N44" i="7" s="1"/>
  <c r="D78" i="12"/>
  <c r="P186" i="7"/>
  <c r="P193" i="7" s="1"/>
  <c r="N193" i="7"/>
  <c r="N196" i="7"/>
  <c r="L205" i="7"/>
  <c r="L124" i="7"/>
  <c r="N124" i="7" s="1"/>
  <c r="G329" i="11"/>
  <c r="L121" i="7"/>
  <c r="N40" i="7"/>
  <c r="P40" i="7" s="1"/>
  <c r="N41" i="7"/>
  <c r="P41" i="7" s="1"/>
  <c r="N115" i="7"/>
  <c r="N130" i="7"/>
  <c r="P130" i="7" s="1"/>
  <c r="N120" i="7"/>
  <c r="P120" i="7" s="1"/>
  <c r="N129" i="7"/>
  <c r="P129" i="7" s="1"/>
  <c r="L42" i="7"/>
  <c r="P114" i="7"/>
  <c r="H302" i="11"/>
  <c r="L126" i="7" s="1"/>
  <c r="H311" i="11"/>
  <c r="L131" i="7" s="1"/>
  <c r="I292" i="11"/>
  <c r="L45" i="7" s="1"/>
  <c r="H301" i="11"/>
  <c r="L125" i="7" s="1"/>
  <c r="H294" i="11"/>
  <c r="F344" i="11" s="1"/>
  <c r="G344" i="11" s="1"/>
  <c r="L235" i="7" s="1"/>
  <c r="O235" i="7" s="1"/>
  <c r="I293" i="11"/>
  <c r="L46" i="7" s="1"/>
  <c r="P196" i="7" l="1"/>
  <c r="P205" i="7" s="1"/>
  <c r="N205" i="7"/>
  <c r="G331" i="11"/>
  <c r="L210" i="7" s="1"/>
  <c r="N210" i="7" s="1"/>
  <c r="P210" i="7" s="1"/>
  <c r="L208" i="7"/>
  <c r="H283" i="11"/>
  <c r="N121" i="7"/>
  <c r="N42" i="7"/>
  <c r="P42" i="7"/>
  <c r="N46" i="7"/>
  <c r="P46" i="7" s="1"/>
  <c r="N125" i="7"/>
  <c r="P125" i="7" s="1"/>
  <c r="P115" i="7"/>
  <c r="P121" i="7" s="1"/>
  <c r="N45" i="7"/>
  <c r="P45" i="7" s="1"/>
  <c r="N131" i="7"/>
  <c r="P131" i="7" s="1"/>
  <c r="N126" i="7"/>
  <c r="P126" i="7" s="1"/>
  <c r="P235" i="7"/>
  <c r="P236" i="7" s="1"/>
  <c r="L236" i="7"/>
  <c r="G21" i="8" s="1"/>
  <c r="H312" i="11"/>
  <c r="L132" i="7" s="1"/>
  <c r="D7" i="9"/>
  <c r="P44" i="7"/>
  <c r="P124" i="7"/>
  <c r="I294" i="11"/>
  <c r="L47" i="7" s="1"/>
  <c r="N47" i="7" s="1"/>
  <c r="H303" i="11"/>
  <c r="L127" i="7" s="1"/>
  <c r="D79" i="12" l="1"/>
  <c r="N208" i="7"/>
  <c r="L217" i="7"/>
  <c r="N132" i="7"/>
  <c r="P132" i="7" s="1"/>
  <c r="N127" i="7"/>
  <c r="E7" i="9"/>
  <c r="I21" i="6" s="1"/>
  <c r="L240" i="7"/>
  <c r="N240" i="7" s="1"/>
  <c r="P240" i="7" s="1"/>
  <c r="L48" i="7"/>
  <c r="L133" i="7"/>
  <c r="I11" i="12"/>
  <c r="I38" i="12"/>
  <c r="I9" i="12"/>
  <c r="I21" i="12" s="1"/>
  <c r="I18" i="12"/>
  <c r="I19" i="12" s="1"/>
  <c r="N133" i="7" l="1"/>
  <c r="E30" i="4"/>
  <c r="L531" i="7" s="1"/>
  <c r="D5" i="4"/>
  <c r="P208" i="7"/>
  <c r="P217" i="7" s="1"/>
  <c r="N217" i="7"/>
  <c r="F7" i="9"/>
  <c r="I23" i="6" s="1"/>
  <c r="L241" i="7" s="1"/>
  <c r="N241" i="7" s="1"/>
  <c r="P241" i="7" s="1"/>
  <c r="L239" i="7"/>
  <c r="P127" i="7"/>
  <c r="P133" i="7" s="1"/>
  <c r="H346" i="11"/>
  <c r="I20" i="12"/>
  <c r="H90" i="11" s="1"/>
  <c r="L77" i="7" s="1"/>
  <c r="D176" i="11"/>
  <c r="G176" i="11" s="1"/>
  <c r="I176" i="11" s="1"/>
  <c r="L31" i="7" s="1"/>
  <c r="N31" i="7" s="1"/>
  <c r="P47" i="7"/>
  <c r="P48" i="7" s="1"/>
  <c r="N48" i="7"/>
  <c r="I39" i="12"/>
  <c r="H106" i="11"/>
  <c r="L90" i="7" s="1"/>
  <c r="H105" i="11"/>
  <c r="L89" i="7" s="1"/>
  <c r="I24" i="12"/>
  <c r="I25" i="12" s="1"/>
  <c r="I31" i="12"/>
  <c r="D8" i="4"/>
  <c r="I10" i="12"/>
  <c r="H68" i="11" l="1"/>
  <c r="H89" i="11"/>
  <c r="E125" i="4"/>
  <c r="L626" i="7" s="1"/>
  <c r="N626" i="7" s="1"/>
  <c r="P626" i="7" s="1"/>
  <c r="E70" i="4"/>
  <c r="L572" i="7" s="1"/>
  <c r="N572" i="7" s="1"/>
  <c r="P572" i="7" s="1"/>
  <c r="L509" i="7"/>
  <c r="N509" i="7" s="1"/>
  <c r="P509" i="7" s="1"/>
  <c r="L76" i="7"/>
  <c r="N76" i="7" s="1"/>
  <c r="G5" i="4"/>
  <c r="E33" i="4"/>
  <c r="L534" i="7" s="1"/>
  <c r="N534" i="7" s="1"/>
  <c r="P534" i="7" s="1"/>
  <c r="L505" i="7"/>
  <c r="N531" i="7"/>
  <c r="N90" i="7"/>
  <c r="P90" i="7" s="1"/>
  <c r="N89" i="7"/>
  <c r="P89" i="7" s="1"/>
  <c r="N77" i="7"/>
  <c r="P77" i="7" s="1"/>
  <c r="N239" i="7"/>
  <c r="L243" i="7"/>
  <c r="G19" i="8" s="1"/>
  <c r="E57" i="4"/>
  <c r="L559" i="7" s="1"/>
  <c r="N559" i="7" s="1"/>
  <c r="E25" i="4"/>
  <c r="D10" i="9"/>
  <c r="E10" i="9" s="1"/>
  <c r="F10" i="9" s="1"/>
  <c r="I25" i="4" s="1"/>
  <c r="E67" i="4"/>
  <c r="L569" i="7" s="1"/>
  <c r="L36" i="7"/>
  <c r="H227" i="11" s="1"/>
  <c r="N36" i="7"/>
  <c r="H69" i="11"/>
  <c r="I69" i="11" s="1"/>
  <c r="L21" i="7" s="1"/>
  <c r="I68" i="11"/>
  <c r="L20" i="7" s="1"/>
  <c r="N20" i="7" s="1"/>
  <c r="I22" i="12"/>
  <c r="H93" i="11"/>
  <c r="L80" i="7" s="1"/>
  <c r="H92" i="11"/>
  <c r="L79" i="7" s="1"/>
  <c r="H71" i="11"/>
  <c r="I71" i="11" s="1"/>
  <c r="L23" i="7" s="1"/>
  <c r="I32" i="12"/>
  <c r="I40" i="12"/>
  <c r="I12" i="12"/>
  <c r="I26" i="12" l="1"/>
  <c r="N505" i="7"/>
  <c r="L506" i="7"/>
  <c r="J5" i="4"/>
  <c r="K5" i="4" s="1"/>
  <c r="G154" i="11"/>
  <c r="I33" i="12"/>
  <c r="D12" i="4"/>
  <c r="D9" i="4"/>
  <c r="E79" i="4"/>
  <c r="E80" i="4" s="1"/>
  <c r="P531" i="7"/>
  <c r="P539" i="7" s="1"/>
  <c r="N539" i="7"/>
  <c r="G25" i="4"/>
  <c r="L700" i="7" s="1"/>
  <c r="N700" i="7" s="1"/>
  <c r="D7" i="4"/>
  <c r="L539" i="7"/>
  <c r="N79" i="7"/>
  <c r="P79" i="7" s="1"/>
  <c r="N80" i="7"/>
  <c r="P80" i="7" s="1"/>
  <c r="N21" i="7"/>
  <c r="P239" i="7"/>
  <c r="P243" i="7" s="1"/>
  <c r="N243" i="7"/>
  <c r="N23" i="7"/>
  <c r="P23" i="7" s="1"/>
  <c r="N569" i="7"/>
  <c r="P569" i="7" s="1"/>
  <c r="E102" i="4"/>
  <c r="E105" i="4" s="1"/>
  <c r="I23" i="12"/>
  <c r="J25" i="4"/>
  <c r="K25" i="4" s="1"/>
  <c r="L25" i="4" s="1"/>
  <c r="M25" i="4" s="1"/>
  <c r="L498" i="7" s="1"/>
  <c r="N498" i="7" s="1"/>
  <c r="P31" i="7"/>
  <c r="P36" i="7" s="1"/>
  <c r="P559" i="7"/>
  <c r="L24" i="7"/>
  <c r="P76" i="7"/>
  <c r="H109" i="11"/>
  <c r="L93" i="7" s="1"/>
  <c r="H108" i="11"/>
  <c r="L92" i="7" s="1"/>
  <c r="I13" i="12"/>
  <c r="I41" i="12"/>
  <c r="E135" i="4" s="1"/>
  <c r="L636" i="7" s="1"/>
  <c r="N636" i="7" s="1"/>
  <c r="P636" i="7" s="1"/>
  <c r="I42" i="12"/>
  <c r="D13" i="4" s="1"/>
  <c r="E123" i="4" l="1"/>
  <c r="L624" i="7" s="1"/>
  <c r="E127" i="4"/>
  <c r="L628" i="7" s="1"/>
  <c r="N628" i="7" s="1"/>
  <c r="P628" i="7" s="1"/>
  <c r="L515" i="7"/>
  <c r="E83" i="4"/>
  <c r="L584" i="7" s="1"/>
  <c r="N584" i="7" s="1"/>
  <c r="P584" i="7" s="1"/>
  <c r="L510" i="7"/>
  <c r="N510" i="7" s="1"/>
  <c r="P510" i="7" s="1"/>
  <c r="G155" i="11"/>
  <c r="L174" i="7" s="1"/>
  <c r="N174" i="7" s="1"/>
  <c r="P174" i="7" s="1"/>
  <c r="L173" i="7"/>
  <c r="E60" i="4"/>
  <c r="L562" i="7" s="1"/>
  <c r="N562" i="7" s="1"/>
  <c r="P562" i="7" s="1"/>
  <c r="L508" i="7"/>
  <c r="P505" i="7"/>
  <c r="P506" i="7" s="1"/>
  <c r="N506" i="7"/>
  <c r="N24" i="7"/>
  <c r="N49" i="7" s="1"/>
  <c r="I43" i="12"/>
  <c r="E13" i="4" s="1"/>
  <c r="E137" i="4" s="1"/>
  <c r="N92" i="7"/>
  <c r="P92" i="7" s="1"/>
  <c r="P21" i="7"/>
  <c r="N93" i="7"/>
  <c r="P93" i="7" s="1"/>
  <c r="L49" i="7"/>
  <c r="G10" i="8" s="1"/>
  <c r="L581" i="7"/>
  <c r="L580" i="7"/>
  <c r="N580" i="7" s="1"/>
  <c r="L603" i="7"/>
  <c r="N603" i="7" s="1"/>
  <c r="E104" i="4"/>
  <c r="L605" i="7" s="1"/>
  <c r="E106" i="4"/>
  <c r="G106" i="4" s="1"/>
  <c r="L606" i="7"/>
  <c r="P20" i="7"/>
  <c r="L94" i="7"/>
  <c r="L134" i="7" s="1"/>
  <c r="G175" i="4"/>
  <c r="G176" i="4"/>
  <c r="G174" i="4"/>
  <c r="G167" i="4"/>
  <c r="G168" i="4"/>
  <c r="G166" i="4"/>
  <c r="G156" i="4"/>
  <c r="G157" i="4"/>
  <c r="G158" i="4"/>
  <c r="G159" i="4"/>
  <c r="G160" i="4"/>
  <c r="G161" i="4"/>
  <c r="G155" i="4"/>
  <c r="G145" i="4"/>
  <c r="G146" i="4"/>
  <c r="G147" i="4"/>
  <c r="G148" i="4"/>
  <c r="G149" i="4"/>
  <c r="G150" i="4"/>
  <c r="G144" i="4"/>
  <c r="G135" i="4"/>
  <c r="G136" i="4"/>
  <c r="G138" i="4"/>
  <c r="G139" i="4"/>
  <c r="G134" i="4"/>
  <c r="G124" i="4"/>
  <c r="G125" i="4"/>
  <c r="G126" i="4"/>
  <c r="G128" i="4"/>
  <c r="G129" i="4"/>
  <c r="G123" i="4"/>
  <c r="G103" i="4"/>
  <c r="G105" i="4"/>
  <c r="G108" i="4"/>
  <c r="G109" i="4"/>
  <c r="G110" i="4"/>
  <c r="G111" i="4"/>
  <c r="G112" i="4"/>
  <c r="G114" i="4"/>
  <c r="G115" i="4"/>
  <c r="G116" i="4"/>
  <c r="G117" i="4"/>
  <c r="G118" i="4"/>
  <c r="G102" i="4"/>
  <c r="G91" i="4"/>
  <c r="G92" i="4"/>
  <c r="G93" i="4"/>
  <c r="G94" i="4"/>
  <c r="G95" i="4"/>
  <c r="G96" i="4"/>
  <c r="G97" i="4"/>
  <c r="G90" i="4"/>
  <c r="G79" i="4"/>
  <c r="G81" i="4"/>
  <c r="G82" i="4"/>
  <c r="G83" i="4"/>
  <c r="G84" i="4"/>
  <c r="J84" i="4" s="1"/>
  <c r="K84" i="4" s="1"/>
  <c r="G85" i="4"/>
  <c r="G78" i="4"/>
  <c r="G68" i="4"/>
  <c r="J68" i="4" s="1"/>
  <c r="K68" i="4" s="1"/>
  <c r="L68" i="4" s="1"/>
  <c r="G69" i="4"/>
  <c r="J69" i="4" s="1"/>
  <c r="K69" i="4" s="1"/>
  <c r="L69" i="4" s="1"/>
  <c r="G70" i="4"/>
  <c r="J70" i="4" s="1"/>
  <c r="K70" i="4" s="1"/>
  <c r="L70" i="4" s="1"/>
  <c r="G71" i="4"/>
  <c r="J71" i="4" s="1"/>
  <c r="K71" i="4" s="1"/>
  <c r="L71" i="4" s="1"/>
  <c r="G72" i="4"/>
  <c r="J72" i="4" s="1"/>
  <c r="K72" i="4" s="1"/>
  <c r="L72" i="4" s="1"/>
  <c r="G67" i="4"/>
  <c r="J67" i="4" s="1"/>
  <c r="K67" i="4" s="1"/>
  <c r="L67" i="4" s="1"/>
  <c r="G62" i="4"/>
  <c r="J62" i="4" s="1"/>
  <c r="G59" i="4"/>
  <c r="J59" i="4" s="1"/>
  <c r="K59" i="4" s="1"/>
  <c r="G60" i="4"/>
  <c r="J60" i="4" s="1"/>
  <c r="K60" i="4" s="1"/>
  <c r="G61" i="4"/>
  <c r="J61" i="4" s="1"/>
  <c r="K61" i="4" s="1"/>
  <c r="G58" i="4"/>
  <c r="J58" i="4" s="1"/>
  <c r="K58" i="4" s="1"/>
  <c r="G57" i="4"/>
  <c r="J57" i="4" s="1"/>
  <c r="G40" i="4"/>
  <c r="G41" i="4"/>
  <c r="G42" i="4"/>
  <c r="G43" i="4"/>
  <c r="G44" i="4"/>
  <c r="G45" i="4"/>
  <c r="G46" i="4"/>
  <c r="G47" i="4"/>
  <c r="G48" i="4"/>
  <c r="G49" i="4"/>
  <c r="G50" i="4"/>
  <c r="G51" i="4"/>
  <c r="G52" i="4"/>
  <c r="G39" i="4"/>
  <c r="G30" i="4"/>
  <c r="G31" i="4"/>
  <c r="G32" i="4"/>
  <c r="G33" i="4"/>
  <c r="G34" i="4"/>
  <c r="G29" i="4"/>
  <c r="G127" i="4" l="1"/>
  <c r="L517" i="7"/>
  <c r="L518" i="7" s="1"/>
  <c r="I7" i="6"/>
  <c r="L638" i="7"/>
  <c r="L644" i="7" s="1"/>
  <c r="G137" i="4"/>
  <c r="N173" i="7"/>
  <c r="L181" i="7"/>
  <c r="L229" i="7" s="1"/>
  <c r="G11" i="8" s="1"/>
  <c r="N515" i="7"/>
  <c r="L516" i="7"/>
  <c r="L512" i="7"/>
  <c r="N508" i="7"/>
  <c r="N624" i="7"/>
  <c r="L634" i="7"/>
  <c r="N94" i="7"/>
  <c r="N134" i="7" s="1"/>
  <c r="P24" i="7"/>
  <c r="P49" i="7" s="1"/>
  <c r="G80" i="4"/>
  <c r="P94" i="7"/>
  <c r="P134" i="7" s="1"/>
  <c r="N606" i="7"/>
  <c r="P606" i="7" s="1"/>
  <c r="N605" i="7"/>
  <c r="P605" i="7" s="1"/>
  <c r="N581" i="7"/>
  <c r="P581" i="7" s="1"/>
  <c r="G104" i="4"/>
  <c r="L602" i="7"/>
  <c r="E107" i="4"/>
  <c r="L607" i="7"/>
  <c r="P603" i="7"/>
  <c r="G18" i="8"/>
  <c r="L84" i="4"/>
  <c r="M84" i="4"/>
  <c r="L398" i="7" s="1"/>
  <c r="K62" i="4"/>
  <c r="L62" i="4" s="1"/>
  <c r="M58" i="4"/>
  <c r="L373" i="7" s="1"/>
  <c r="L58" i="4"/>
  <c r="M59" i="4"/>
  <c r="L374" i="7" s="1"/>
  <c r="L59" i="4"/>
  <c r="M60" i="4"/>
  <c r="L375" i="7" s="1"/>
  <c r="L60" i="4"/>
  <c r="M61" i="4"/>
  <c r="L376" i="7" s="1"/>
  <c r="L61" i="4"/>
  <c r="M72" i="4"/>
  <c r="L387" i="7" s="1"/>
  <c r="M71" i="4"/>
  <c r="L386" i="7" s="1"/>
  <c r="M70" i="4"/>
  <c r="L385" i="7" s="1"/>
  <c r="M69" i="4"/>
  <c r="L384" i="7" s="1"/>
  <c r="M68" i="4"/>
  <c r="L383" i="7" s="1"/>
  <c r="M67" i="4"/>
  <c r="L382" i="7" s="1"/>
  <c r="H163" i="11" l="1"/>
  <c r="N517" i="7"/>
  <c r="N638" i="7"/>
  <c r="N644" i="7" s="1"/>
  <c r="L231" i="7"/>
  <c r="L245" i="7" s="1"/>
  <c r="G4" i="8" s="1"/>
  <c r="P508" i="7"/>
  <c r="P512" i="7" s="1"/>
  <c r="N512" i="7"/>
  <c r="P515" i="7"/>
  <c r="P516" i="7" s="1"/>
  <c r="N516" i="7"/>
  <c r="P173" i="7"/>
  <c r="P181" i="7" s="1"/>
  <c r="P229" i="7" s="1"/>
  <c r="P231" i="7" s="1"/>
  <c r="P245" i="7" s="1"/>
  <c r="N181" i="7"/>
  <c r="N229" i="7" s="1"/>
  <c r="N231" i="7" s="1"/>
  <c r="N245" i="7" s="1"/>
  <c r="P624" i="7"/>
  <c r="P634" i="7" s="1"/>
  <c r="N634" i="7"/>
  <c r="P638" i="7"/>
  <c r="P644" i="7" s="1"/>
  <c r="N518" i="7"/>
  <c r="P517" i="7"/>
  <c r="P518" i="7" s="1"/>
  <c r="N382" i="7"/>
  <c r="P382" i="7" s="1"/>
  <c r="N375" i="7"/>
  <c r="P375" i="7" s="1"/>
  <c r="N384" i="7"/>
  <c r="P384" i="7" s="1"/>
  <c r="N387" i="7"/>
  <c r="P387" i="7" s="1"/>
  <c r="N383" i="7"/>
  <c r="P383" i="7" s="1"/>
  <c r="N385" i="7"/>
  <c r="P385" i="7" s="1"/>
  <c r="N374" i="7"/>
  <c r="P374" i="7" s="1"/>
  <c r="N386" i="7"/>
  <c r="P386" i="7" s="1"/>
  <c r="N373" i="7"/>
  <c r="P373" i="7" s="1"/>
  <c r="N607" i="7"/>
  <c r="P607" i="7" s="1"/>
  <c r="N376" i="7"/>
  <c r="P376" i="7" s="1"/>
  <c r="N398" i="7"/>
  <c r="P398" i="7" s="1"/>
  <c r="P580" i="7"/>
  <c r="P602" i="7" s="1"/>
  <c r="N602" i="7"/>
  <c r="L608" i="7"/>
  <c r="N608" i="7" s="1"/>
  <c r="G107" i="4"/>
  <c r="L699" i="7" s="1"/>
  <c r="M62" i="4"/>
  <c r="L377" i="7" s="1"/>
  <c r="E235" i="7"/>
  <c r="E234" i="7"/>
  <c r="L703" i="7" l="1"/>
  <c r="N703" i="7" s="1"/>
  <c r="P703" i="7" s="1"/>
  <c r="N699" i="7"/>
  <c r="P699" i="7" s="1"/>
  <c r="N377" i="7"/>
  <c r="P377" i="7" s="1"/>
  <c r="L623" i="7"/>
  <c r="L682" i="7" s="1"/>
  <c r="G15" i="8" s="1"/>
  <c r="E686" i="7"/>
  <c r="E687" i="7"/>
  <c r="E685" i="7"/>
  <c r="E242" i="7"/>
  <c r="E239" i="7"/>
  <c r="E240" i="7"/>
  <c r="E656" i="7"/>
  <c r="E657" i="7"/>
  <c r="E658" i="7"/>
  <c r="E659" i="7"/>
  <c r="E660" i="7"/>
  <c r="E661" i="7"/>
  <c r="E662" i="7"/>
  <c r="E663" i="7"/>
  <c r="E667" i="7"/>
  <c r="E668" i="7"/>
  <c r="E669" i="7"/>
  <c r="E670" i="7"/>
  <c r="E674" i="7"/>
  <c r="E675" i="7"/>
  <c r="E676" i="7"/>
  <c r="E677" i="7"/>
  <c r="E646" i="7"/>
  <c r="E647" i="7"/>
  <c r="E648" i="7"/>
  <c r="E649" i="7"/>
  <c r="E650" i="7"/>
  <c r="E651" i="7"/>
  <c r="E652" i="7"/>
  <c r="E645" i="7"/>
  <c r="E636" i="7"/>
  <c r="E637" i="7"/>
  <c r="E638" i="7"/>
  <c r="E639" i="7"/>
  <c r="E640" i="7"/>
  <c r="E635" i="7"/>
  <c r="E625" i="7"/>
  <c r="E626" i="7"/>
  <c r="E627" i="7"/>
  <c r="E628" i="7"/>
  <c r="E629" i="7"/>
  <c r="E630" i="7"/>
  <c r="E624" i="7"/>
  <c r="E619" i="7"/>
  <c r="E604" i="7"/>
  <c r="E605" i="7"/>
  <c r="E606" i="7"/>
  <c r="E607" i="7"/>
  <c r="E608" i="7"/>
  <c r="E609" i="7"/>
  <c r="E610" i="7"/>
  <c r="E611" i="7"/>
  <c r="E612" i="7"/>
  <c r="E613" i="7"/>
  <c r="E614" i="7"/>
  <c r="E615" i="7"/>
  <c r="E616" i="7"/>
  <c r="E617" i="7"/>
  <c r="E618" i="7"/>
  <c r="E603" i="7"/>
  <c r="E592" i="7"/>
  <c r="E593" i="7"/>
  <c r="E594" i="7"/>
  <c r="E595" i="7"/>
  <c r="E596" i="7"/>
  <c r="E597" i="7"/>
  <c r="E598" i="7"/>
  <c r="E591" i="7"/>
  <c r="E590" i="7"/>
  <c r="E580" i="7"/>
  <c r="E581" i="7"/>
  <c r="E582" i="7"/>
  <c r="E583" i="7"/>
  <c r="E584" i="7"/>
  <c r="E585" i="7"/>
  <c r="E586" i="7"/>
  <c r="E579" i="7"/>
  <c r="E574" i="7"/>
  <c r="E570" i="7"/>
  <c r="E571" i="7"/>
  <c r="E572" i="7"/>
  <c r="E573" i="7"/>
  <c r="E569" i="7"/>
  <c r="E560" i="7"/>
  <c r="E561" i="7"/>
  <c r="E562" i="7"/>
  <c r="E563" i="7"/>
  <c r="E564" i="7"/>
  <c r="E559" i="7"/>
  <c r="E542" i="7"/>
  <c r="E543" i="7"/>
  <c r="E544" i="7"/>
  <c r="E545" i="7"/>
  <c r="E546" i="7"/>
  <c r="E547" i="7"/>
  <c r="E548" i="7"/>
  <c r="E549" i="7"/>
  <c r="E550" i="7"/>
  <c r="E551" i="7"/>
  <c r="E552" i="7"/>
  <c r="E553" i="7"/>
  <c r="E554" i="7"/>
  <c r="E541" i="7"/>
  <c r="E531" i="7"/>
  <c r="E532" i="7"/>
  <c r="E533" i="7"/>
  <c r="E534" i="7"/>
  <c r="E535" i="7"/>
  <c r="E530" i="7"/>
  <c r="E520" i="7"/>
  <c r="E521" i="7"/>
  <c r="E522" i="7"/>
  <c r="E523" i="7"/>
  <c r="E524" i="7"/>
  <c r="E519" i="7"/>
  <c r="E517" i="7"/>
  <c r="E515" i="7"/>
  <c r="E513" i="7"/>
  <c r="E508" i="7"/>
  <c r="E509" i="7"/>
  <c r="E510" i="7"/>
  <c r="E511" i="7"/>
  <c r="E507" i="7"/>
  <c r="E505" i="7"/>
  <c r="E488" i="7"/>
  <c r="E458" i="7"/>
  <c r="E469" i="7"/>
  <c r="E432" i="7"/>
  <c r="E437" i="7"/>
  <c r="E438" i="7"/>
  <c r="E439" i="7"/>
  <c r="E440" i="7"/>
  <c r="E441" i="7"/>
  <c r="E442" i="7"/>
  <c r="E443" i="7"/>
  <c r="E448" i="7"/>
  <c r="E449" i="7"/>
  <c r="E450" i="7"/>
  <c r="E451" i="7"/>
  <c r="E452" i="7"/>
  <c r="E453" i="7"/>
  <c r="E480" i="7"/>
  <c r="E481" i="7"/>
  <c r="E482" i="7"/>
  <c r="E483" i="7"/>
  <c r="E487" i="7"/>
  <c r="E489" i="7"/>
  <c r="E490" i="7"/>
  <c r="E465" i="7"/>
  <c r="E470" i="7"/>
  <c r="E471" i="7"/>
  <c r="E472" i="7"/>
  <c r="E473" i="7"/>
  <c r="E474" i="7"/>
  <c r="E475" i="7"/>
  <c r="E476" i="7"/>
  <c r="E459" i="7"/>
  <c r="E460" i="7"/>
  <c r="E461" i="7"/>
  <c r="E462" i="7"/>
  <c r="E463" i="7"/>
  <c r="E464" i="7"/>
  <c r="E420" i="7"/>
  <c r="E421" i="7"/>
  <c r="E422" i="7"/>
  <c r="E423" i="7"/>
  <c r="E424" i="7"/>
  <c r="E425" i="7"/>
  <c r="E426" i="7"/>
  <c r="E427" i="7"/>
  <c r="E428" i="7"/>
  <c r="E429" i="7"/>
  <c r="E430" i="7"/>
  <c r="E431" i="7"/>
  <c r="E416" i="7"/>
  <c r="E417" i="7"/>
  <c r="E418" i="7"/>
  <c r="E419" i="7"/>
  <c r="E395" i="7"/>
  <c r="E396" i="7"/>
  <c r="E397" i="7"/>
  <c r="E398" i="7"/>
  <c r="E399" i="7"/>
  <c r="E403" i="7"/>
  <c r="E404" i="7"/>
  <c r="E405" i="7"/>
  <c r="E406" i="7"/>
  <c r="E407" i="7"/>
  <c r="E408" i="7"/>
  <c r="E409" i="7"/>
  <c r="E410" i="7"/>
  <c r="E411" i="7"/>
  <c r="E384" i="7"/>
  <c r="E385" i="7"/>
  <c r="E386" i="7"/>
  <c r="E387" i="7"/>
  <c r="E392" i="7"/>
  <c r="E393" i="7"/>
  <c r="E394" i="7"/>
  <c r="E365" i="7"/>
  <c r="E366" i="7"/>
  <c r="E367" i="7"/>
  <c r="E372" i="7"/>
  <c r="E373" i="7"/>
  <c r="E374" i="7"/>
  <c r="E375" i="7"/>
  <c r="E376" i="7"/>
  <c r="E377" i="7"/>
  <c r="E382" i="7"/>
  <c r="E383" i="7"/>
  <c r="E354" i="7"/>
  <c r="E355" i="7"/>
  <c r="E356" i="7"/>
  <c r="E357" i="7"/>
  <c r="E358" i="7"/>
  <c r="E359" i="7"/>
  <c r="E360" i="7"/>
  <c r="E361" i="7"/>
  <c r="E362" i="7"/>
  <c r="E363" i="7"/>
  <c r="E364" i="7"/>
  <c r="E344" i="7"/>
  <c r="E345" i="7"/>
  <c r="E346" i="7"/>
  <c r="E347" i="7"/>
  <c r="E348" i="7"/>
  <c r="E343" i="7"/>
  <c r="E337" i="7"/>
  <c r="E335" i="7"/>
  <c r="E336" i="7"/>
  <c r="E324" i="7"/>
  <c r="E326" i="7"/>
  <c r="E328" i="7"/>
  <c r="E330" i="7"/>
  <c r="E332" i="7"/>
  <c r="E333" i="7"/>
  <c r="E334" i="7"/>
  <c r="E322" i="7"/>
  <c r="E323" i="7"/>
  <c r="E310" i="7"/>
  <c r="E311" i="7"/>
  <c r="E309" i="7"/>
  <c r="E305" i="7"/>
  <c r="E301" i="7"/>
  <c r="E300" i="7"/>
  <c r="E293" i="7"/>
  <c r="E273" i="7"/>
  <c r="E277" i="7"/>
  <c r="E278" i="7"/>
  <c r="E275" i="7"/>
  <c r="E276" i="7"/>
  <c r="E274" i="7"/>
  <c r="E270" i="7"/>
  <c r="E269" i="7"/>
  <c r="E266" i="7"/>
  <c r="E265" i="7"/>
  <c r="E262" i="7"/>
  <c r="E261" i="7"/>
  <c r="E256" i="7"/>
  <c r="E257" i="7"/>
  <c r="E258" i="7"/>
  <c r="E255" i="7"/>
  <c r="E252" i="7"/>
  <c r="L57" i="6"/>
  <c r="N310" i="7" l="1"/>
  <c r="P310" i="7" s="1"/>
  <c r="P608" i="7"/>
  <c r="P623" i="7" s="1"/>
  <c r="P682" i="7" s="1"/>
  <c r="N623" i="7"/>
  <c r="N682" i="7" s="1"/>
  <c r="J149" i="4"/>
  <c r="K149" i="4" s="1"/>
  <c r="L58" i="6"/>
  <c r="L56" i="6"/>
  <c r="N309" i="7" s="1"/>
  <c r="L47" i="6"/>
  <c r="N305" i="7" s="1"/>
  <c r="L52" i="6"/>
  <c r="L51" i="6"/>
  <c r="L301" i="7" l="1"/>
  <c r="N301" i="7" s="1"/>
  <c r="N300" i="7"/>
  <c r="P300" i="7" s="1"/>
  <c r="N311" i="7"/>
  <c r="P311" i="7" s="1"/>
  <c r="L306" i="7"/>
  <c r="L312" i="7"/>
  <c r="M149" i="4"/>
  <c r="L464" i="7" s="1"/>
  <c r="L149" i="4"/>
  <c r="J159" i="4"/>
  <c r="K159" i="4" s="1"/>
  <c r="J78" i="4"/>
  <c r="K78" i="4" s="1"/>
  <c r="J40" i="4"/>
  <c r="K40" i="4" s="1"/>
  <c r="G19" i="4"/>
  <c r="G21" i="4"/>
  <c r="G14" i="4"/>
  <c r="J14" i="4" s="1"/>
  <c r="G15" i="4"/>
  <c r="G16" i="4"/>
  <c r="J16" i="4" s="1"/>
  <c r="K16" i="4" s="1"/>
  <c r="G17" i="4"/>
  <c r="J17" i="4" s="1"/>
  <c r="G18" i="4"/>
  <c r="J18" i="4" s="1"/>
  <c r="G6" i="4"/>
  <c r="G10" i="4"/>
  <c r="L302" i="7" l="1"/>
  <c r="G20" i="8" s="1"/>
  <c r="N464" i="7"/>
  <c r="P464" i="7" s="1"/>
  <c r="G13" i="8"/>
  <c r="L313" i="7"/>
  <c r="P305" i="7"/>
  <c r="P306" i="7" s="1"/>
  <c r="N306" i="7"/>
  <c r="P309" i="7"/>
  <c r="P312" i="7" s="1"/>
  <c r="N312" i="7"/>
  <c r="P301" i="7"/>
  <c r="P302" i="7" s="1"/>
  <c r="N302" i="7"/>
  <c r="J10" i="4"/>
  <c r="K10" i="4" s="1"/>
  <c r="K18" i="4"/>
  <c r="M18" i="4" s="1"/>
  <c r="L336" i="7" s="1"/>
  <c r="L159" i="4"/>
  <c r="M159" i="4"/>
  <c r="L474" i="7" s="1"/>
  <c r="K57" i="4"/>
  <c r="M78" i="4"/>
  <c r="L392" i="7" s="1"/>
  <c r="L78" i="4"/>
  <c r="J15" i="4"/>
  <c r="K15" i="4" s="1"/>
  <c r="L40" i="4"/>
  <c r="M40" i="4"/>
  <c r="L355" i="7" s="1"/>
  <c r="L16" i="4"/>
  <c r="M16" i="4"/>
  <c r="L334" i="7" s="1"/>
  <c r="K14" i="4"/>
  <c r="K17" i="4"/>
  <c r="J6" i="4"/>
  <c r="K6" i="4" s="1"/>
  <c r="E152" i="7"/>
  <c r="E153" i="7"/>
  <c r="E154" i="7"/>
  <c r="E148" i="7"/>
  <c r="E149" i="7"/>
  <c r="E150" i="7"/>
  <c r="E151" i="7"/>
  <c r="E144" i="7"/>
  <c r="E147" i="7"/>
  <c r="E142" i="7"/>
  <c r="E138" i="7"/>
  <c r="E139" i="7"/>
  <c r="E140" i="7"/>
  <c r="E141" i="7"/>
  <c r="E137" i="7"/>
  <c r="E130" i="7"/>
  <c r="E132" i="7"/>
  <c r="E124" i="7"/>
  <c r="E125" i="7"/>
  <c r="E129" i="7"/>
  <c r="E122" i="7"/>
  <c r="E112" i="7"/>
  <c r="E113" i="7"/>
  <c r="E117" i="7"/>
  <c r="E118" i="7"/>
  <c r="E119" i="7"/>
  <c r="E110" i="7"/>
  <c r="E104" i="7"/>
  <c r="E105" i="7"/>
  <c r="E106" i="7"/>
  <c r="E107" i="7"/>
  <c r="E108" i="7"/>
  <c r="E97" i="7"/>
  <c r="E98" i="7"/>
  <c r="E99" i="7"/>
  <c r="E100" i="7"/>
  <c r="E101" i="7"/>
  <c r="E103" i="7"/>
  <c r="E95" i="7"/>
  <c r="E88" i="7"/>
  <c r="E89" i="7"/>
  <c r="E90" i="7"/>
  <c r="E91" i="7"/>
  <c r="E92" i="7"/>
  <c r="E83" i="7"/>
  <c r="E85" i="7"/>
  <c r="E86" i="7"/>
  <c r="E87" i="7"/>
  <c r="E82" i="7"/>
  <c r="E79" i="7"/>
  <c r="E78" i="7"/>
  <c r="E75" i="7"/>
  <c r="E69" i="7"/>
  <c r="E70" i="7"/>
  <c r="E68" i="7"/>
  <c r="E64" i="7"/>
  <c r="E65" i="7"/>
  <c r="E66" i="7"/>
  <c r="E62" i="7"/>
  <c r="E44" i="7"/>
  <c r="E45" i="7"/>
  <c r="E46" i="7"/>
  <c r="E47" i="7"/>
  <c r="E43" i="7"/>
  <c r="E38" i="7"/>
  <c r="E39" i="7"/>
  <c r="E40" i="7"/>
  <c r="E41" i="7"/>
  <c r="E37" i="7"/>
  <c r="E29" i="7"/>
  <c r="E30" i="7"/>
  <c r="E31" i="7"/>
  <c r="E32" i="7"/>
  <c r="E33" i="7"/>
  <c r="E34" i="7"/>
  <c r="E35" i="7"/>
  <c r="E28" i="7"/>
  <c r="E26" i="7"/>
  <c r="E27" i="7"/>
  <c r="E25" i="7"/>
  <c r="E23" i="7"/>
  <c r="E22" i="7"/>
  <c r="E20" i="7"/>
  <c r="E21" i="7"/>
  <c r="E16" i="7"/>
  <c r="E17" i="7"/>
  <c r="E18" i="7"/>
  <c r="E19" i="7"/>
  <c r="E15" i="7"/>
  <c r="E12" i="7"/>
  <c r="E13" i="7"/>
  <c r="E14" i="7"/>
  <c r="E11" i="7"/>
  <c r="E7" i="7"/>
  <c r="E8" i="7"/>
  <c r="E9" i="7"/>
  <c r="E60" i="7"/>
  <c r="E58" i="7"/>
  <c r="E59" i="7"/>
  <c r="E54" i="7"/>
  <c r="E55" i="7"/>
  <c r="E56" i="7"/>
  <c r="E52" i="7"/>
  <c r="N474" i="7" l="1"/>
  <c r="P474" i="7" s="1"/>
  <c r="N355" i="7"/>
  <c r="P355" i="7" s="1"/>
  <c r="N334" i="7"/>
  <c r="P334" i="7" s="1"/>
  <c r="N336" i="7"/>
  <c r="P336" i="7" s="1"/>
  <c r="N392" i="7"/>
  <c r="P392" i="7" s="1"/>
  <c r="P313" i="7"/>
  <c r="N313" i="7"/>
  <c r="L18" i="4"/>
  <c r="M10" i="4"/>
  <c r="L324" i="7" s="1"/>
  <c r="L10" i="4"/>
  <c r="M57" i="4"/>
  <c r="L372" i="7" s="1"/>
  <c r="L57" i="4"/>
  <c r="L15" i="4"/>
  <c r="M15" i="4"/>
  <c r="L333" i="7" s="1"/>
  <c r="L17" i="4"/>
  <c r="M17" i="4"/>
  <c r="L335" i="7" s="1"/>
  <c r="M14" i="4"/>
  <c r="L332" i="7" s="1"/>
  <c r="N332" i="7" s="1"/>
  <c r="L14" i="4"/>
  <c r="M6" i="4"/>
  <c r="L320" i="7" s="1"/>
  <c r="N320" i="7" s="1"/>
  <c r="L6" i="4"/>
  <c r="M5" i="4"/>
  <c r="L318" i="7" s="1"/>
  <c r="N318" i="7" s="1"/>
  <c r="L5" i="4"/>
  <c r="N372" i="7" l="1"/>
  <c r="P372" i="7" s="1"/>
  <c r="N335" i="7"/>
  <c r="P335" i="7" s="1"/>
  <c r="N333" i="7"/>
  <c r="P333" i="7" s="1"/>
  <c r="N324" i="7"/>
  <c r="P324" i="7" s="1"/>
  <c r="P320" i="7"/>
  <c r="L319" i="7"/>
  <c r="P332" i="7"/>
  <c r="J167" i="4"/>
  <c r="K167" i="4" s="1"/>
  <c r="L167" i="4" s="1"/>
  <c r="J168" i="4"/>
  <c r="K168" i="4" s="1"/>
  <c r="L168" i="4" s="1"/>
  <c r="J175" i="4"/>
  <c r="K175" i="4" s="1"/>
  <c r="L175" i="4" s="1"/>
  <c r="J176" i="4"/>
  <c r="K176" i="4" s="1"/>
  <c r="L176" i="4" s="1"/>
  <c r="J19" i="4"/>
  <c r="J21" i="4"/>
  <c r="K21" i="4" s="1"/>
  <c r="L21" i="4" s="1"/>
  <c r="P318" i="7" l="1"/>
  <c r="P319" i="7" s="1"/>
  <c r="N319" i="7"/>
  <c r="M175" i="4"/>
  <c r="L489" i="7" s="1"/>
  <c r="M21" i="4"/>
  <c r="L339" i="7" s="1"/>
  <c r="M167" i="4"/>
  <c r="L482" i="7" s="1"/>
  <c r="J166" i="4"/>
  <c r="K166" i="4" s="1"/>
  <c r="J174" i="4"/>
  <c r="K174" i="4" s="1"/>
  <c r="M176" i="4"/>
  <c r="L490" i="7" s="1"/>
  <c r="M168" i="4"/>
  <c r="L483" i="7" s="1"/>
  <c r="N483" i="7" l="1"/>
  <c r="P483" i="7" s="1"/>
  <c r="N490" i="7"/>
  <c r="P490" i="7" s="1"/>
  <c r="N482" i="7"/>
  <c r="P482" i="7" s="1"/>
  <c r="N339" i="7"/>
  <c r="P339" i="7" s="1"/>
  <c r="N489" i="7"/>
  <c r="P489" i="7" s="1"/>
  <c r="L166" i="4"/>
  <c r="M166" i="4"/>
  <c r="L481" i="7" s="1"/>
  <c r="L174" i="4"/>
  <c r="M174" i="4"/>
  <c r="L488" i="7" s="1"/>
  <c r="N488" i="7" l="1"/>
  <c r="P488" i="7" s="1"/>
  <c r="N481" i="7"/>
  <c r="P481" i="7" s="1"/>
  <c r="K19" i="4"/>
  <c r="J81" i="4"/>
  <c r="K81" i="4" s="1"/>
  <c r="J82" i="4"/>
  <c r="K82" i="4" s="1"/>
  <c r="J83" i="4"/>
  <c r="K83" i="4" s="1"/>
  <c r="J85" i="4"/>
  <c r="K85" i="4" s="1"/>
  <c r="J90" i="4"/>
  <c r="K90" i="4" s="1"/>
  <c r="J91" i="4"/>
  <c r="K91" i="4" s="1"/>
  <c r="J92" i="4"/>
  <c r="K92" i="4" s="1"/>
  <c r="J93" i="4"/>
  <c r="K93" i="4" s="1"/>
  <c r="J94" i="4"/>
  <c r="K94" i="4" s="1"/>
  <c r="J95" i="4"/>
  <c r="K95" i="4" s="1"/>
  <c r="J96" i="4"/>
  <c r="K96" i="4" s="1"/>
  <c r="J97" i="4"/>
  <c r="K97" i="4" s="1"/>
  <c r="J102" i="4"/>
  <c r="K102" i="4" s="1"/>
  <c r="J103" i="4"/>
  <c r="K103" i="4" s="1"/>
  <c r="J104" i="4"/>
  <c r="K104" i="4" s="1"/>
  <c r="J105" i="4"/>
  <c r="K105" i="4" s="1"/>
  <c r="J106" i="4"/>
  <c r="K106" i="4" s="1"/>
  <c r="J107" i="4"/>
  <c r="K107" i="4" s="1"/>
  <c r="J108" i="4"/>
  <c r="K108" i="4" s="1"/>
  <c r="J109" i="4"/>
  <c r="K109" i="4" s="1"/>
  <c r="J110" i="4"/>
  <c r="K110" i="4" s="1"/>
  <c r="J111" i="4"/>
  <c r="K111" i="4" s="1"/>
  <c r="J112" i="4"/>
  <c r="K112" i="4" s="1"/>
  <c r="J113" i="4"/>
  <c r="K113" i="4" s="1"/>
  <c r="J114" i="4"/>
  <c r="K114" i="4" s="1"/>
  <c r="J115" i="4"/>
  <c r="K115" i="4" s="1"/>
  <c r="J116" i="4"/>
  <c r="K116" i="4" s="1"/>
  <c r="J117" i="4"/>
  <c r="K117" i="4" s="1"/>
  <c r="J118" i="4"/>
  <c r="K118" i="4" s="1"/>
  <c r="J123" i="4"/>
  <c r="K123" i="4" s="1"/>
  <c r="J124" i="4"/>
  <c r="K124" i="4" s="1"/>
  <c r="J125" i="4"/>
  <c r="K125" i="4" s="1"/>
  <c r="J126" i="4"/>
  <c r="K126" i="4" s="1"/>
  <c r="J127" i="4"/>
  <c r="K127" i="4" s="1"/>
  <c r="J128" i="4"/>
  <c r="K128" i="4" s="1"/>
  <c r="J129" i="4"/>
  <c r="K129" i="4" s="1"/>
  <c r="J134" i="4"/>
  <c r="K134" i="4" s="1"/>
  <c r="J135" i="4"/>
  <c r="K135" i="4" s="1"/>
  <c r="J136" i="4"/>
  <c r="K136" i="4" s="1"/>
  <c r="J137" i="4"/>
  <c r="K137" i="4" s="1"/>
  <c r="J138" i="4"/>
  <c r="K138" i="4" s="1"/>
  <c r="J139" i="4"/>
  <c r="K139" i="4" s="1"/>
  <c r="J144" i="4"/>
  <c r="K144" i="4" s="1"/>
  <c r="J145" i="4"/>
  <c r="K145" i="4" s="1"/>
  <c r="J146" i="4"/>
  <c r="K146" i="4" s="1"/>
  <c r="J147" i="4"/>
  <c r="K147" i="4" s="1"/>
  <c r="J148" i="4"/>
  <c r="K148" i="4" s="1"/>
  <c r="J150" i="4"/>
  <c r="K150" i="4" s="1"/>
  <c r="J155" i="4"/>
  <c r="K155" i="4" s="1"/>
  <c r="J156" i="4"/>
  <c r="K156" i="4" s="1"/>
  <c r="J157" i="4"/>
  <c r="K157" i="4" s="1"/>
  <c r="J158" i="4"/>
  <c r="K158" i="4" s="1"/>
  <c r="J160" i="4"/>
  <c r="K160" i="4" s="1"/>
  <c r="J161" i="4"/>
  <c r="K161" i="4" s="1"/>
  <c r="P700" i="7" l="1"/>
  <c r="P701" i="7"/>
  <c r="L19" i="4"/>
  <c r="M19" i="4"/>
  <c r="L337" i="7" s="1"/>
  <c r="N337" i="7" s="1"/>
  <c r="L160" i="4"/>
  <c r="M160" i="4"/>
  <c r="L475" i="7" s="1"/>
  <c r="L135" i="4"/>
  <c r="M135" i="4"/>
  <c r="L449" i="7" s="1"/>
  <c r="L113" i="4"/>
  <c r="M113" i="4"/>
  <c r="L427" i="7" s="1"/>
  <c r="L95" i="4"/>
  <c r="M95" i="4"/>
  <c r="L409" i="7" s="1"/>
  <c r="L115" i="4"/>
  <c r="M115" i="4"/>
  <c r="L429" i="7" s="1"/>
  <c r="L157" i="4"/>
  <c r="M157" i="4"/>
  <c r="L472" i="7" s="1"/>
  <c r="L150" i="4"/>
  <c r="M150" i="4"/>
  <c r="L465" i="7" s="1"/>
  <c r="L145" i="4"/>
  <c r="M145" i="4"/>
  <c r="L460" i="7" s="1"/>
  <c r="L138" i="4"/>
  <c r="M138" i="4"/>
  <c r="L452" i="7" s="1"/>
  <c r="L134" i="4"/>
  <c r="M134" i="4"/>
  <c r="L448" i="7" s="1"/>
  <c r="N448" i="7" s="1"/>
  <c r="L127" i="4"/>
  <c r="M127" i="4"/>
  <c r="L441" i="7" s="1"/>
  <c r="L123" i="4"/>
  <c r="M123" i="4"/>
  <c r="L437" i="7" s="1"/>
  <c r="N437" i="7" s="1"/>
  <c r="L116" i="4"/>
  <c r="M116" i="4"/>
  <c r="L430" i="7" s="1"/>
  <c r="L112" i="4"/>
  <c r="M112" i="4"/>
  <c r="L426" i="7" s="1"/>
  <c r="L108" i="4"/>
  <c r="M108" i="4"/>
  <c r="L422" i="7" s="1"/>
  <c r="L104" i="4"/>
  <c r="M104" i="4"/>
  <c r="L418" i="7" s="1"/>
  <c r="L94" i="4"/>
  <c r="M94" i="4"/>
  <c r="L408" i="7" s="1"/>
  <c r="L90" i="4"/>
  <c r="M90" i="4"/>
  <c r="L404" i="7" s="1"/>
  <c r="L82" i="4"/>
  <c r="M82" i="4"/>
  <c r="L396" i="7" s="1"/>
  <c r="L103" i="4"/>
  <c r="M103" i="4"/>
  <c r="L417" i="7" s="1"/>
  <c r="L81" i="4"/>
  <c r="M81" i="4"/>
  <c r="L395" i="7" s="1"/>
  <c r="L146" i="4"/>
  <c r="M146" i="4"/>
  <c r="L461" i="7" s="1"/>
  <c r="L124" i="4"/>
  <c r="M124" i="4"/>
  <c r="L438" i="7" s="1"/>
  <c r="L109" i="4"/>
  <c r="M109" i="4"/>
  <c r="L423" i="7" s="1"/>
  <c r="L83" i="4"/>
  <c r="M83" i="4"/>
  <c r="L397" i="7" s="1"/>
  <c r="L93" i="4"/>
  <c r="M93" i="4"/>
  <c r="L407" i="7" s="1"/>
  <c r="L161" i="4"/>
  <c r="M161" i="4"/>
  <c r="L476" i="7" s="1"/>
  <c r="L148" i="4"/>
  <c r="M148" i="4"/>
  <c r="L463" i="7" s="1"/>
  <c r="L114" i="4"/>
  <c r="M114" i="4"/>
  <c r="L428" i="7" s="1"/>
  <c r="L156" i="4"/>
  <c r="M156" i="4"/>
  <c r="L471" i="7" s="1"/>
  <c r="L137" i="4"/>
  <c r="M137" i="4"/>
  <c r="L451" i="7" s="1"/>
  <c r="L126" i="4"/>
  <c r="M126" i="4"/>
  <c r="L440" i="7" s="1"/>
  <c r="L107" i="4"/>
  <c r="M107" i="4"/>
  <c r="L421" i="7" s="1"/>
  <c r="L97" i="4"/>
  <c r="M97" i="4"/>
  <c r="L411" i="7" s="1"/>
  <c r="L158" i="4"/>
  <c r="M158" i="4"/>
  <c r="L473" i="7" s="1"/>
  <c r="L139" i="4"/>
  <c r="M139" i="4"/>
  <c r="L453" i="7" s="1"/>
  <c r="L128" i="4"/>
  <c r="M128" i="4"/>
  <c r="L442" i="7" s="1"/>
  <c r="L117" i="4"/>
  <c r="M117" i="4"/>
  <c r="L431" i="7" s="1"/>
  <c r="L105" i="4"/>
  <c r="M105" i="4"/>
  <c r="L419" i="7" s="1"/>
  <c r="L91" i="4"/>
  <c r="M91" i="4"/>
  <c r="L405" i="7" s="1"/>
  <c r="L144" i="4"/>
  <c r="M144" i="4"/>
  <c r="L459" i="7" s="1"/>
  <c r="N459" i="7" s="1"/>
  <c r="L111" i="4"/>
  <c r="M111" i="4"/>
  <c r="L425" i="7" s="1"/>
  <c r="L85" i="4"/>
  <c r="M85" i="4"/>
  <c r="L399" i="7" s="1"/>
  <c r="L155" i="4"/>
  <c r="M155" i="4"/>
  <c r="L470" i="7" s="1"/>
  <c r="L147" i="4"/>
  <c r="M147" i="4"/>
  <c r="L462" i="7" s="1"/>
  <c r="L136" i="4"/>
  <c r="M136" i="4"/>
  <c r="L450" i="7" s="1"/>
  <c r="L129" i="4"/>
  <c r="M129" i="4"/>
  <c r="L443" i="7" s="1"/>
  <c r="L125" i="4"/>
  <c r="M125" i="4"/>
  <c r="L439" i="7" s="1"/>
  <c r="L118" i="4"/>
  <c r="M118" i="4"/>
  <c r="L432" i="7" s="1"/>
  <c r="L110" i="4"/>
  <c r="M110" i="4"/>
  <c r="L424" i="7" s="1"/>
  <c r="L106" i="4"/>
  <c r="M106" i="4"/>
  <c r="L420" i="7" s="1"/>
  <c r="L102" i="4"/>
  <c r="M102" i="4"/>
  <c r="L416" i="7" s="1"/>
  <c r="N416" i="7" s="1"/>
  <c r="L96" i="4"/>
  <c r="M96" i="4"/>
  <c r="L410" i="7" s="1"/>
  <c r="L92" i="4"/>
  <c r="M92" i="4"/>
  <c r="L406" i="7" s="1"/>
  <c r="N450" i="7" l="1"/>
  <c r="P450" i="7" s="1"/>
  <c r="N431" i="7"/>
  <c r="P431" i="7" s="1"/>
  <c r="N461" i="7"/>
  <c r="P461" i="7" s="1"/>
  <c r="N426" i="7"/>
  <c r="P426" i="7" s="1"/>
  <c r="N442" i="7"/>
  <c r="P442" i="7" s="1"/>
  <c r="N395" i="7"/>
  <c r="P395" i="7" s="1"/>
  <c r="N430" i="7"/>
  <c r="P430" i="7" s="1"/>
  <c r="N475" i="7"/>
  <c r="P475" i="7" s="1"/>
  <c r="N405" i="7"/>
  <c r="P405" i="7" s="1"/>
  <c r="N440" i="7"/>
  <c r="P440" i="7" s="1"/>
  <c r="N418" i="7"/>
  <c r="P418" i="7" s="1"/>
  <c r="N460" i="7"/>
  <c r="N409" i="7"/>
  <c r="P409" i="7" s="1"/>
  <c r="N424" i="7"/>
  <c r="P424" i="7" s="1"/>
  <c r="N407" i="7"/>
  <c r="P407" i="7" s="1"/>
  <c r="N472" i="7"/>
  <c r="P472" i="7" s="1"/>
  <c r="N462" i="7"/>
  <c r="P462" i="7" s="1"/>
  <c r="N428" i="7"/>
  <c r="P428" i="7" s="1"/>
  <c r="N423" i="7"/>
  <c r="P423" i="7" s="1"/>
  <c r="N406" i="7"/>
  <c r="P406" i="7" s="1"/>
  <c r="N425" i="7"/>
  <c r="P425" i="7" s="1"/>
  <c r="N471" i="7"/>
  <c r="P471" i="7" s="1"/>
  <c r="N404" i="7"/>
  <c r="P404" i="7" s="1"/>
  <c r="N410" i="7"/>
  <c r="P410" i="7" s="1"/>
  <c r="N421" i="7"/>
  <c r="P421" i="7" s="1"/>
  <c r="N408" i="7"/>
  <c r="P408" i="7" s="1"/>
  <c r="N452" i="7"/>
  <c r="P452" i="7" s="1"/>
  <c r="N429" i="7"/>
  <c r="P429" i="7" s="1"/>
  <c r="N439" i="7"/>
  <c r="P439" i="7" s="1"/>
  <c r="N470" i="7"/>
  <c r="P470" i="7" s="1"/>
  <c r="N453" i="7"/>
  <c r="P453" i="7" s="1"/>
  <c r="N463" i="7"/>
  <c r="P463" i="7" s="1"/>
  <c r="N420" i="7"/>
  <c r="P420" i="7" s="1"/>
  <c r="N443" i="7"/>
  <c r="P443" i="7" s="1"/>
  <c r="N399" i="7"/>
  <c r="P399" i="7" s="1"/>
  <c r="N419" i="7"/>
  <c r="N473" i="7"/>
  <c r="P473" i="7" s="1"/>
  <c r="N451" i="7"/>
  <c r="P451" i="7" s="1"/>
  <c r="N476" i="7"/>
  <c r="P476" i="7" s="1"/>
  <c r="N438" i="7"/>
  <c r="P438" i="7" s="1"/>
  <c r="N396" i="7"/>
  <c r="P396" i="7" s="1"/>
  <c r="N422" i="7"/>
  <c r="P422" i="7" s="1"/>
  <c r="N441" i="7"/>
  <c r="P441" i="7" s="1"/>
  <c r="N465" i="7"/>
  <c r="P465" i="7" s="1"/>
  <c r="N427" i="7"/>
  <c r="P427" i="7" s="1"/>
  <c r="N411" i="7"/>
  <c r="P411" i="7" s="1"/>
  <c r="N449" i="7"/>
  <c r="N432" i="7"/>
  <c r="P432" i="7" s="1"/>
  <c r="N397" i="7"/>
  <c r="P397" i="7" s="1"/>
  <c r="N417" i="7"/>
  <c r="P417" i="7" s="1"/>
  <c r="P497" i="7"/>
  <c r="P416" i="7"/>
  <c r="L340" i="7"/>
  <c r="P448" i="7"/>
  <c r="P437" i="7"/>
  <c r="P459" i="7"/>
  <c r="L494" i="7"/>
  <c r="L457" i="7"/>
  <c r="L436" i="7"/>
  <c r="L447" i="7"/>
  <c r="G7" i="4"/>
  <c r="G8" i="4"/>
  <c r="G9" i="4"/>
  <c r="G11" i="4"/>
  <c r="G12" i="4"/>
  <c r="G13" i="4"/>
  <c r="N494" i="7" l="1"/>
  <c r="N436" i="7"/>
  <c r="N457" i="7"/>
  <c r="P419" i="7"/>
  <c r="P436" i="7" s="1"/>
  <c r="P449" i="7"/>
  <c r="P457" i="7" s="1"/>
  <c r="N447" i="7"/>
  <c r="P447" i="7"/>
  <c r="P460" i="7"/>
  <c r="P494" i="7" s="1"/>
  <c r="L698" i="7"/>
  <c r="P337" i="7"/>
  <c r="P340" i="7" s="1"/>
  <c r="N340" i="7"/>
  <c r="L499" i="7"/>
  <c r="J52" i="4"/>
  <c r="K52" i="4" s="1"/>
  <c r="J29" i="4"/>
  <c r="J51" i="4"/>
  <c r="K51" i="4" s="1"/>
  <c r="J47" i="4"/>
  <c r="K47" i="4" s="1"/>
  <c r="J43" i="4"/>
  <c r="K43" i="4" s="1"/>
  <c r="J39" i="4"/>
  <c r="K39" i="4" s="1"/>
  <c r="J32" i="4"/>
  <c r="K32" i="4" s="1"/>
  <c r="J48" i="4"/>
  <c r="K48" i="4" s="1"/>
  <c r="J33" i="4"/>
  <c r="K33" i="4" s="1"/>
  <c r="J79" i="4"/>
  <c r="K79" i="4" s="1"/>
  <c r="J50" i="4"/>
  <c r="K50" i="4" s="1"/>
  <c r="J46" i="4"/>
  <c r="K46" i="4" s="1"/>
  <c r="J42" i="4"/>
  <c r="K42" i="4" s="1"/>
  <c r="J31" i="4"/>
  <c r="K31" i="4" s="1"/>
  <c r="J80" i="4"/>
  <c r="K80" i="4" s="1"/>
  <c r="J44" i="4"/>
  <c r="K44" i="4" s="1"/>
  <c r="J49" i="4"/>
  <c r="K49" i="4" s="1"/>
  <c r="J45" i="4"/>
  <c r="K45" i="4" s="1"/>
  <c r="J41" i="4"/>
  <c r="K41" i="4" s="1"/>
  <c r="J34" i="4"/>
  <c r="K34" i="4" s="1"/>
  <c r="J30" i="4"/>
  <c r="K30" i="4" s="1"/>
  <c r="J13" i="4"/>
  <c r="K13" i="4" s="1"/>
  <c r="J12" i="4"/>
  <c r="K12" i="4" s="1"/>
  <c r="J11" i="4"/>
  <c r="K11" i="4" s="1"/>
  <c r="J9" i="4"/>
  <c r="K9" i="4" s="1"/>
  <c r="J8" i="4"/>
  <c r="K8" i="4" s="1"/>
  <c r="J7" i="4"/>
  <c r="K7" i="4" s="1"/>
  <c r="L707" i="7" l="1"/>
  <c r="N698" i="7"/>
  <c r="N707" i="7" s="1"/>
  <c r="P498" i="7"/>
  <c r="P499" i="7" s="1"/>
  <c r="N499" i="7"/>
  <c r="L48" i="4"/>
  <c r="M48" i="4"/>
  <c r="L363" i="7" s="1"/>
  <c r="M80" i="4"/>
  <c r="L394" i="7" s="1"/>
  <c r="L80" i="4"/>
  <c r="L33" i="4"/>
  <c r="M33" i="4"/>
  <c r="L347" i="7" s="1"/>
  <c r="L42" i="4"/>
  <c r="M42" i="4"/>
  <c r="L357" i="7" s="1"/>
  <c r="M43" i="4"/>
  <c r="L358" i="7" s="1"/>
  <c r="L43" i="4"/>
  <c r="M29" i="4"/>
  <c r="L343" i="7" s="1"/>
  <c r="L31" i="4"/>
  <c r="M31" i="4"/>
  <c r="L345" i="7" s="1"/>
  <c r="M51" i="4"/>
  <c r="L366" i="7" s="1"/>
  <c r="L51" i="4"/>
  <c r="L50" i="4"/>
  <c r="M50" i="4"/>
  <c r="L365" i="7" s="1"/>
  <c r="L32" i="4"/>
  <c r="M32" i="4"/>
  <c r="L346" i="7" s="1"/>
  <c r="M79" i="4"/>
  <c r="L393" i="7" s="1"/>
  <c r="L79" i="4"/>
  <c r="L46" i="4"/>
  <c r="M46" i="4"/>
  <c r="L361" i="7" s="1"/>
  <c r="L44" i="4"/>
  <c r="M44" i="4"/>
  <c r="L359" i="7" s="1"/>
  <c r="M39" i="4"/>
  <c r="L354" i="7" s="1"/>
  <c r="N354" i="7" s="1"/>
  <c r="L39" i="4"/>
  <c r="M12" i="4"/>
  <c r="L328" i="7" s="1"/>
  <c r="N328" i="7" s="1"/>
  <c r="L12" i="4"/>
  <c r="M45" i="4"/>
  <c r="L360" i="7" s="1"/>
  <c r="L45" i="4"/>
  <c r="M41" i="4"/>
  <c r="L356" i="7" s="1"/>
  <c r="L41" i="4"/>
  <c r="M49" i="4"/>
  <c r="L364" i="7" s="1"/>
  <c r="L49" i="4"/>
  <c r="L7" i="4"/>
  <c r="M7" i="4"/>
  <c r="L321" i="7" s="1"/>
  <c r="N321" i="7" s="1"/>
  <c r="M47" i="4"/>
  <c r="L362" i="7" s="1"/>
  <c r="L47" i="4"/>
  <c r="L52" i="4"/>
  <c r="M52" i="4"/>
  <c r="L367" i="7" s="1"/>
  <c r="L8" i="4"/>
  <c r="M8" i="4"/>
  <c r="L322" i="7" s="1"/>
  <c r="M30" i="4"/>
  <c r="L344" i="7" s="1"/>
  <c r="N344" i="7" s="1"/>
  <c r="L30" i="4"/>
  <c r="M13" i="4"/>
  <c r="L330" i="7" s="1"/>
  <c r="N330" i="7" s="1"/>
  <c r="L13" i="4"/>
  <c r="M9" i="4"/>
  <c r="L323" i="7" s="1"/>
  <c r="L9" i="4"/>
  <c r="M11" i="4"/>
  <c r="L326" i="7" s="1"/>
  <c r="N326" i="7" s="1"/>
  <c r="L11" i="4"/>
  <c r="M34" i="4"/>
  <c r="L348" i="7" s="1"/>
  <c r="L34" i="4"/>
  <c r="F19" i="9" l="1"/>
  <c r="G6" i="8"/>
  <c r="G17" i="8"/>
  <c r="N362" i="7"/>
  <c r="P362" i="7" s="1"/>
  <c r="N348" i="7"/>
  <c r="P348" i="7" s="1"/>
  <c r="N343" i="7"/>
  <c r="P343" i="7" s="1"/>
  <c r="N322" i="7"/>
  <c r="P322" i="7" s="1"/>
  <c r="N394" i="7"/>
  <c r="P394" i="7" s="1"/>
  <c r="N361" i="7"/>
  <c r="P361" i="7" s="1"/>
  <c r="N366" i="7"/>
  <c r="P366" i="7" s="1"/>
  <c r="N347" i="7"/>
  <c r="N393" i="7"/>
  <c r="P393" i="7" s="1"/>
  <c r="N346" i="7"/>
  <c r="P346" i="7" s="1"/>
  <c r="N364" i="7"/>
  <c r="P364" i="7" s="1"/>
  <c r="N367" i="7"/>
  <c r="P367" i="7" s="1"/>
  <c r="N359" i="7"/>
  <c r="P359" i="7" s="1"/>
  <c r="N365" i="7"/>
  <c r="P365" i="7" s="1"/>
  <c r="N363" i="7"/>
  <c r="P363" i="7" s="1"/>
  <c r="N357" i="7"/>
  <c r="P357" i="7" s="1"/>
  <c r="N360" i="7"/>
  <c r="P360" i="7" s="1"/>
  <c r="N345" i="7"/>
  <c r="P345" i="7" s="1"/>
  <c r="N323" i="7"/>
  <c r="P323" i="7" s="1"/>
  <c r="N356" i="7"/>
  <c r="N358" i="7"/>
  <c r="P358" i="7" s="1"/>
  <c r="P698" i="7"/>
  <c r="P707" i="7" s="1"/>
  <c r="L331" i="7"/>
  <c r="L325" i="7"/>
  <c r="P344" i="7"/>
  <c r="L329" i="7"/>
  <c r="L327" i="7"/>
  <c r="P354" i="7"/>
  <c r="L352" i="7"/>
  <c r="L415" i="7"/>
  <c r="N415" i="7" l="1"/>
  <c r="N352" i="7"/>
  <c r="L500" i="7"/>
  <c r="L690" i="7" s="1"/>
  <c r="P356" i="7"/>
  <c r="P415" i="7" s="1"/>
  <c r="P347" i="7"/>
  <c r="P352" i="7" s="1"/>
  <c r="N329" i="7"/>
  <c r="P328" i="7"/>
  <c r="P329" i="7" s="1"/>
  <c r="P321" i="7"/>
  <c r="P325" i="7" s="1"/>
  <c r="N325" i="7"/>
  <c r="P326" i="7"/>
  <c r="P327" i="7" s="1"/>
  <c r="N327" i="7"/>
  <c r="P330" i="7"/>
  <c r="P331" i="7" s="1"/>
  <c r="N331" i="7"/>
  <c r="L692" i="7" l="1"/>
  <c r="L709" i="7" s="1"/>
  <c r="G5" i="8"/>
  <c r="P500" i="7"/>
  <c r="P690" i="7" s="1"/>
  <c r="P692" i="7" s="1"/>
  <c r="P709" i="7" s="1"/>
  <c r="N500" i="7"/>
  <c r="N690" i="7" s="1"/>
  <c r="N692" i="7" s="1"/>
  <c r="N709" i="7" s="1"/>
  <c r="N711" i="7" s="1"/>
  <c r="G12" i="8"/>
  <c r="G22" i="8" s="1"/>
  <c r="G7" i="8"/>
  <c r="I6" i="8" l="1"/>
  <c r="I4" i="8"/>
  <c r="F18" i="9"/>
  <c r="I5" i="8"/>
  <c r="L712" i="7"/>
  <c r="L711" i="7"/>
  <c r="P712" i="7"/>
  <c r="P711" i="7"/>
  <c r="N712" i="7"/>
  <c r="N713" i="7"/>
  <c r="F20" i="9"/>
  <c r="I20" i="8"/>
  <c r="J7" i="9"/>
  <c r="I16" i="8"/>
  <c r="L713" i="7"/>
  <c r="I15" i="8"/>
  <c r="I19" i="8"/>
  <c r="I10" i="8"/>
  <c r="I18" i="8"/>
  <c r="I17" i="8"/>
  <c r="I13" i="8"/>
  <c r="I14" i="8"/>
  <c r="I11" i="8"/>
  <c r="I21" i="8"/>
  <c r="P713" i="7"/>
  <c r="I12" i="8"/>
  <c r="J6" i="8" l="1"/>
  <c r="J5" i="8"/>
  <c r="J4" i="8"/>
  <c r="J21" i="8"/>
  <c r="J13" i="8"/>
  <c r="J12" i="8"/>
  <c r="J11" i="8"/>
  <c r="J10" i="8"/>
  <c r="J14" i="8"/>
  <c r="J20" i="8"/>
  <c r="J19" i="8"/>
  <c r="J18" i="8"/>
  <c r="J17" i="8"/>
  <c r="J16" i="8"/>
  <c r="J15" i="8"/>
  <c r="I7" i="8"/>
  <c r="I22" i="8"/>
  <c r="F11" i="9"/>
  <c r="J6" i="9" l="1"/>
  <c r="F13" i="9"/>
  <c r="F12" i="9"/>
  <c r="J8" i="9"/>
  <c r="E25" i="9"/>
  <c r="F25" i="9" s="1"/>
  <c r="J22" i="8"/>
  <c r="J7" i="8"/>
  <c r="E32" i="9"/>
  <c r="F32" i="9" s="1"/>
  <c r="E26" i="9"/>
  <c r="F26" i="9" s="1"/>
  <c r="E27" i="9"/>
  <c r="F27" i="9" s="1"/>
  <c r="J9"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Laya Kannan Silva Alves</author>
  </authors>
  <commentList>
    <comment ref="B8" authorId="0" shapeId="0" xr:uid="{582BEBD1-EA28-4D8C-9472-30397D8CFF71}">
      <text>
        <r>
          <rPr>
            <b/>
            <sz val="40"/>
            <color indexed="81"/>
            <rFont val="Segoe UI"/>
            <family val="2"/>
          </rPr>
          <t>Considerar a área construída (galpões), área verde, estradas internas da propriedade, administração, etc.)</t>
        </r>
      </text>
    </comment>
    <comment ref="C8" authorId="0" shapeId="0" xr:uid="{64E1DF4A-B234-48B2-A092-29CE8E35C6E3}">
      <text>
        <r>
          <rPr>
            <b/>
            <sz val="12"/>
            <color indexed="81"/>
            <rFont val="Segoe UI"/>
            <family val="2"/>
          </rPr>
          <t>Considerar a área construída (galpões), área verde, estradas internas da propriedade, administração, etc.)</t>
        </r>
        <r>
          <rPr>
            <sz val="9"/>
            <color indexed="81"/>
            <rFont val="Segoe UI"/>
            <family val="2"/>
          </rPr>
          <t xml:space="preserve">
</t>
        </r>
      </text>
    </comment>
    <comment ref="B13" authorId="0" shapeId="0" xr:uid="{A725E336-E99B-44DE-8898-B530DA2B67EC}">
      <text>
        <r>
          <rPr>
            <b/>
            <sz val="40"/>
            <color indexed="81"/>
            <rFont val="Segoe UI"/>
            <family val="2"/>
          </rPr>
          <t xml:space="preserve">Pode ser taxa de juros da poupança, SELIC, etc.
</t>
        </r>
      </text>
    </comment>
    <comment ref="B17" authorId="0" shapeId="0" xr:uid="{84AA939B-4CAB-45E2-B153-AEBAD56DE31E}">
      <text>
        <r>
          <rPr>
            <b/>
            <sz val="40"/>
            <color indexed="81"/>
            <rFont val="Segoe UI"/>
            <family val="2"/>
          </rPr>
          <t xml:space="preserve">Salário do proprietário
</t>
        </r>
      </text>
    </comment>
    <comment ref="B34" authorId="0" shapeId="0" xr:uid="{2B6E94FA-D4A3-426B-90B0-5BEA6E9CF728}">
      <text>
        <r>
          <rPr>
            <b/>
            <sz val="40"/>
            <color indexed="81"/>
            <rFont val="Segoe UI"/>
            <family val="2"/>
          </rPr>
          <t>Recomenda-se utilizar pelo menos uma taxa de manutenção de 10%</t>
        </r>
      </text>
    </comment>
    <comment ref="C38" authorId="0" shapeId="0" xr:uid="{5B9FBDB2-0F7C-4745-A654-9BF16B2C7B63}">
      <text>
        <r>
          <rPr>
            <sz val="25"/>
            <color indexed="81"/>
            <rFont val="Segoe UI"/>
            <family val="2"/>
          </rPr>
          <t xml:space="preserve">Se a reposição é interna significa que sua propriedade produz as próprias fêmeas, do nascimento à idade produtiva. 
Já reposição externa significa que a propriedade compra suas marrãs (futuras matrizes) de terceiros. </t>
        </r>
      </text>
    </comment>
    <comment ref="C42" authorId="0" shapeId="0" xr:uid="{68A8FC07-5679-4DA6-9443-BDE1A57C4089}">
      <text>
        <r>
          <rPr>
            <sz val="24"/>
            <color indexed="81"/>
            <rFont val="Segoe UI"/>
            <family val="2"/>
          </rPr>
          <t>Se o sêmen é produzido na propriedade, é necessário que se tenha machos e todo o equipamento necessário para coleta e avaliação da qualidade do sêmen. 
O sêmen também pode ser adquirido de empresas de genética. Ou pode-se utilizar dos dois métodos, mesclando a utilização de sêmen dos machos da granja e machos de centrais.</t>
        </r>
        <r>
          <rPr>
            <sz val="9"/>
            <color indexed="81"/>
            <rFont val="Segoe UI"/>
            <family val="2"/>
          </rPr>
          <t xml:space="preserve">
</t>
        </r>
      </text>
    </comment>
    <comment ref="B47" authorId="0" shapeId="0" xr:uid="{3CC9E182-D2E0-4F7F-9278-78DE413B1F7C}">
      <text>
        <r>
          <rPr>
            <b/>
            <sz val="40"/>
            <color indexed="81"/>
            <rFont val="Segoe UI"/>
            <family val="2"/>
          </rPr>
          <t>Energia elétrica consumida pela suinocultura</t>
        </r>
      </text>
    </comment>
    <comment ref="C47" authorId="0" shapeId="0" xr:uid="{54549968-2D04-44E3-82E0-210A13EA082F}">
      <text>
        <r>
          <rPr>
            <sz val="25"/>
            <color indexed="81"/>
            <rFont val="Segoe UI"/>
            <family val="2"/>
          </rPr>
          <t>Energia elétrica consumida pela suinocultura</t>
        </r>
        <r>
          <rPr>
            <b/>
            <sz val="9"/>
            <color indexed="81"/>
            <rFont val="Segoe UI"/>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Laya Kannan Silva Alves</author>
  </authors>
  <commentList>
    <comment ref="B31" authorId="0" shapeId="0" xr:uid="{0EB9167B-1EF5-4EE9-8604-377DB1E146D2}">
      <text>
        <r>
          <rPr>
            <b/>
            <sz val="40"/>
            <color indexed="81"/>
            <rFont val="Segoe UI"/>
            <family val="2"/>
          </rPr>
          <t>Os DNP são contabiblizados pela equação: DNP = 365 - ((Lactação + Gestação)* p.p.a)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Laya Kannan Silva Alves</author>
  </authors>
  <commentList>
    <comment ref="A1" authorId="0" shapeId="0" xr:uid="{7E0AF093-0258-4AE0-8F2B-17D203451D7F}">
      <text>
        <r>
          <rPr>
            <b/>
            <sz val="50"/>
            <color indexed="81"/>
            <rFont val="Segoe UI"/>
            <family val="2"/>
          </rPr>
          <t xml:space="preserve">Laya Kannan Silva Alves:
</t>
        </r>
        <r>
          <rPr>
            <sz val="50"/>
            <color indexed="81"/>
            <rFont val="Segoe UI"/>
            <family val="2"/>
          </rPr>
          <t xml:space="preserve">
Apesar de trabalhosa, esta é uma das abas mais importantes da planilha. 
O preenchimento adequado da aba de inventário físico irá permitir o cálculo correto dos custos fixos, bem como das remunerações sobre o capital imobilizado na atividade. </t>
        </r>
      </text>
    </comment>
    <comment ref="D4" authorId="0" shapeId="0" xr:uid="{E9CF9A46-59FF-4440-B3E8-9EADE8C21352}">
      <text>
        <r>
          <rPr>
            <sz val="25"/>
            <color indexed="81"/>
            <rFont val="Segoe UI"/>
            <family val="2"/>
          </rPr>
          <t xml:space="preserve">Área média dos galpões ou instalação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Laya Kannan Silva Alves</author>
    <author>tc={48ABA0C2-73D5-4376-9C7F-F872B93438CE}</author>
  </authors>
  <commentList>
    <comment ref="B2" authorId="0" shapeId="0" xr:uid="{659D2FD8-7401-4641-86DA-B92E8E961EEA}">
      <text>
        <r>
          <rPr>
            <b/>
            <sz val="9"/>
            <color indexed="81"/>
            <rFont val="Segoe UI"/>
            <family val="2"/>
          </rPr>
          <t>Se a reposição for externa, este quadro não deve ser preenchido.</t>
        </r>
      </text>
    </comment>
    <comment ref="I322" authorId="1" shapeId="0" xr:uid="{48ABA0C2-73D5-4376-9C7F-F872B93438CE}">
      <text>
        <t>[Comentário encadeado]
Sua versão do Excel permite que você leia este comentário encadeado, no entanto, as edições serão removidas se o arquivo for aberto em uma versão mais recente do Excel. Saiba mais: https://go.microsoft.com/fwlink/?linkid=870924
Comentário:
    Comentário do Gameiro... "Em mão de obra, parece que está extrapolando o máximo de horas permitido para um trabalhador por semana. Normalmente é 44 horas/semana. Se ele fizer hora extra pode estender um pouco, acho que mais 2 horas/dia letivo. Então não sei se 56 não é muito. Parece-me que sim. Checar."
Usamos esses valores pq já incluímos férias e etc, por isso o valor extrapolado. Mantemos assim ou fazemos alteraçoes?</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Laya Kannan Silva Alves</author>
  </authors>
  <commentList>
    <comment ref="B694" authorId="0" shapeId="0" xr:uid="{4DA359BF-C151-4957-B25F-B83713419191}">
      <text>
        <r>
          <rPr>
            <sz val="20"/>
            <color indexed="81"/>
            <rFont val="Segoe UI"/>
            <family val="2"/>
          </rPr>
          <t xml:space="preserve">Os custos com a remuneração do capital são custos da suinocultura, no entanto, se os fatores forem prórpios, são uma receita para o produtor, visto que este item inclui a remuneração do capital investido na atividade, imobilizado ou não.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Laya Kannan Silva Alves</author>
  </authors>
  <commentList>
    <comment ref="H3" authorId="0" shapeId="0" xr:uid="{47ADD5E0-543A-4F0B-A326-71C3C2B5A26D}">
      <text>
        <r>
          <rPr>
            <sz val="20"/>
            <color indexed="81"/>
            <rFont val="Segoe UI"/>
            <family val="2"/>
          </rPr>
          <t>Renda total ao produtor que possui fatores próprios</t>
        </r>
      </text>
    </comment>
    <comment ref="L6" authorId="0" shapeId="0" xr:uid="{34A9AF39-B787-4AA4-B01A-BC49492365D9}">
      <text>
        <r>
          <rPr>
            <b/>
            <sz val="50"/>
            <color indexed="81"/>
            <rFont val="Segoe UI"/>
            <family val="2"/>
          </rPr>
          <t>Renda bruta menos o custo total</t>
        </r>
      </text>
    </comment>
    <comment ref="L7" authorId="0" shapeId="0" xr:uid="{7C5214B6-ED3B-4D71-826C-FA3AF7784CC8}">
      <text>
        <r>
          <rPr>
            <b/>
            <sz val="50"/>
            <color indexed="81"/>
            <rFont val="Segoe UI"/>
            <family val="2"/>
          </rPr>
          <t>O Ponto de Nivelamento é o nível de produção no qual o valor das vendas se iguala aos custos.
Mosta a quantidade mínima a ser produzida no sistema para que não haja prejuízo. Aqui, é demonstrada em número de cevados.</t>
        </r>
      </text>
    </comment>
    <comment ref="L8" authorId="0" shapeId="0" xr:uid="{758014EA-4E06-40C7-BB44-FB9220003EB5}">
      <text>
        <r>
          <rPr>
            <b/>
            <sz val="50"/>
            <color indexed="81"/>
            <rFont val="Segoe UI"/>
            <family val="2"/>
          </rPr>
          <t xml:space="preserve">A PTF é um indicador que desmontra a receita por unidade de custo. 
Ou seja, este indicador demonstra quanto "eu" recebo para cada real gasto. </t>
        </r>
        <r>
          <rPr>
            <b/>
            <sz val="9"/>
            <color indexed="81"/>
            <rFont val="Segoe UI"/>
            <family val="2"/>
          </rPr>
          <t xml:space="preserve">
</t>
        </r>
      </text>
    </comment>
    <comment ref="L9" authorId="0" shapeId="0" xr:uid="{BE2B5B3B-37C0-418E-AA1B-5606AEF243A3}">
      <text>
        <r>
          <rPr>
            <b/>
            <sz val="50"/>
            <color indexed="81"/>
            <rFont val="Segoe UI"/>
            <family val="2"/>
          </rPr>
          <t xml:space="preserve">Por meio desse indicador, é possível saber quanto a atividade suinícola está ganhando (ou perdendo) no investimento. 
Demonstrado em porcentagem. </t>
        </r>
      </text>
    </comment>
    <comment ref="B19" authorId="0" shapeId="0" xr:uid="{6714A314-A387-4BD0-A24D-6AB9CEECAB62}">
      <text>
        <r>
          <rPr>
            <b/>
            <sz val="50"/>
            <color indexed="81"/>
            <rFont val="Segoe UI"/>
            <family val="2"/>
          </rPr>
          <t xml:space="preserve"> O custo de oportunidade do capital e da terra é um custo da atividade, no entanto, se os fatores forem próprios, esse valor passa a ser uma receita para o produtor, visto que é composto pelas remunerações do capital próprio investido na suinocultura.</t>
        </r>
      </text>
    </comment>
    <comment ref="C29" authorId="0" shapeId="0" xr:uid="{0249D215-B7E3-48C7-8DF1-EF8B99C4382C}">
      <text>
        <r>
          <rPr>
            <sz val="20"/>
            <color indexed="81"/>
            <rFont val="Segoe UI"/>
            <family val="2"/>
          </rPr>
          <t>Renda total ao produtor que possui fatores próprios</t>
        </r>
      </text>
    </comment>
  </commentList>
</comments>
</file>

<file path=xl/sharedStrings.xml><?xml version="1.0" encoding="utf-8"?>
<sst xmlns="http://schemas.openxmlformats.org/spreadsheetml/2006/main" count="1944" uniqueCount="1098">
  <si>
    <t>Nome:</t>
  </si>
  <si>
    <t>Endereço:</t>
  </si>
  <si>
    <t>Bairro:</t>
  </si>
  <si>
    <t>Complemento:</t>
  </si>
  <si>
    <t>Cidade:</t>
  </si>
  <si>
    <t>Estado:</t>
  </si>
  <si>
    <t>Telefones:</t>
  </si>
  <si>
    <t>E-mail:</t>
  </si>
  <si>
    <t>Dados de identificação da propriedade</t>
  </si>
  <si>
    <t>Dados de identificação do proprietário</t>
  </si>
  <si>
    <t>Maternidade</t>
  </si>
  <si>
    <t xml:space="preserve">Descrição do item </t>
  </si>
  <si>
    <t>Unidade</t>
  </si>
  <si>
    <t>Quantidade</t>
  </si>
  <si>
    <t>Vida Útil (anos)</t>
  </si>
  <si>
    <t>Valor Residual (%)</t>
  </si>
  <si>
    <t>Depreciação anual</t>
  </si>
  <si>
    <t>Descrição do item</t>
  </si>
  <si>
    <t xml:space="preserve">Cantina </t>
  </si>
  <si>
    <t>Instalações cachaços</t>
  </si>
  <si>
    <t>Instalações rufiões</t>
  </si>
  <si>
    <t>Escritório</t>
  </si>
  <si>
    <t xml:space="preserve">Banheiros </t>
  </si>
  <si>
    <t xml:space="preserve">Casas de funcionários </t>
  </si>
  <si>
    <t>Quantidade de itens</t>
  </si>
  <si>
    <t>Barracão</t>
  </si>
  <si>
    <t>Valor total (R$)</t>
  </si>
  <si>
    <t>Preço unitário (R$)</t>
  </si>
  <si>
    <t>Cachaços</t>
  </si>
  <si>
    <t xml:space="preserve">Alimentos </t>
  </si>
  <si>
    <t xml:space="preserve">Categoria e situação fisiológica </t>
  </si>
  <si>
    <t xml:space="preserve">Período de fornecimento (dias por ciclo) </t>
  </si>
  <si>
    <t>Quantidade fornecida (Kg/dia)</t>
  </si>
  <si>
    <t xml:space="preserve">Consumo de ração por animal na fase (Kg) </t>
  </si>
  <si>
    <t xml:space="preserve">Lote semanal </t>
  </si>
  <si>
    <t xml:space="preserve">Consumo de ração semanal da fase </t>
  </si>
  <si>
    <t xml:space="preserve">Marrãs </t>
  </si>
  <si>
    <t xml:space="preserve">Reposição </t>
  </si>
  <si>
    <t xml:space="preserve">Flushing </t>
  </si>
  <si>
    <t>Marrãs gestação</t>
  </si>
  <si>
    <t>Gestação nulíparas (0 aos 21 d)</t>
  </si>
  <si>
    <t>Gestação nulíparas (21 aos 90 d)</t>
  </si>
  <si>
    <t>Gestação nulíparas (91 aos 109 d)</t>
  </si>
  <si>
    <t>Matrizes</t>
  </si>
  <si>
    <t>Gestação (0 aos 21 d)</t>
  </si>
  <si>
    <t>Gestação (21 aos 90 d)</t>
  </si>
  <si>
    <t>Gestação (91 aos 109 d)</t>
  </si>
  <si>
    <t xml:space="preserve">Gestação </t>
  </si>
  <si>
    <t xml:space="preserve">Suplemento </t>
  </si>
  <si>
    <t>Rufiões</t>
  </si>
  <si>
    <t xml:space="preserve">Dose/cabeça/ciclo </t>
  </si>
  <si>
    <t>Nº de doses por fase</t>
  </si>
  <si>
    <t xml:space="preserve">Doses utilizadas semanalmente </t>
  </si>
  <si>
    <t>Porcas</t>
  </si>
  <si>
    <t xml:space="preserve">Manejo reprodutivo </t>
  </si>
  <si>
    <t>Quantidade/fêmea</t>
  </si>
  <si>
    <t>Quantidade semanal</t>
  </si>
  <si>
    <t xml:space="preserve">Materiais de laboratório </t>
  </si>
  <si>
    <t xml:space="preserve">Diluente </t>
  </si>
  <si>
    <t>sachê 1 litro</t>
  </si>
  <si>
    <t xml:space="preserve">Água destilada </t>
  </si>
  <si>
    <t xml:space="preserve">Lâmina </t>
  </si>
  <si>
    <t>unidade</t>
  </si>
  <si>
    <t xml:space="preserve">Filtro para coleta de sêmen </t>
  </si>
  <si>
    <t xml:space="preserve">Copo descartável de coleta </t>
  </si>
  <si>
    <t>Porca</t>
  </si>
  <si>
    <t xml:space="preserve">Marrã </t>
  </si>
  <si>
    <t>Pipeta convencional</t>
  </si>
  <si>
    <t>Pipeta intra-uterina</t>
  </si>
  <si>
    <t>Bisnaga convencional</t>
  </si>
  <si>
    <t xml:space="preserve">Bisnaga intra-uterina </t>
  </si>
  <si>
    <t>Mão de obra</t>
  </si>
  <si>
    <t xml:space="preserve">Mão de obra por atividade/setor </t>
  </si>
  <si>
    <t xml:space="preserve">Descrição da função </t>
  </si>
  <si>
    <t>Nº de funcionários</t>
  </si>
  <si>
    <t xml:space="preserve">Horas trabalhadas semanalmente por grupo </t>
  </si>
  <si>
    <t xml:space="preserve">Permanente </t>
  </si>
  <si>
    <t xml:space="preserve">Líder </t>
  </si>
  <si>
    <t xml:space="preserve">Padrão </t>
  </si>
  <si>
    <t>Segurança</t>
  </si>
  <si>
    <t>Diarista</t>
  </si>
  <si>
    <t>Unidades</t>
  </si>
  <si>
    <t xml:space="preserve">Energia elétrica </t>
  </si>
  <si>
    <t xml:space="preserve">Diesel </t>
  </si>
  <si>
    <t>Litros/mês</t>
  </si>
  <si>
    <t xml:space="preserve">Gasolina </t>
  </si>
  <si>
    <t xml:space="preserve">Item </t>
  </si>
  <si>
    <t>Área em m²</t>
  </si>
  <si>
    <t>Valor residual (R$)</t>
  </si>
  <si>
    <t xml:space="preserve">Unidade </t>
  </si>
  <si>
    <t>Preço unitário (R$/m²)</t>
  </si>
  <si>
    <t>Nº de animais</t>
  </si>
  <si>
    <t>Doses/cabeça/ano</t>
  </si>
  <si>
    <t xml:space="preserve">Bens de consumo </t>
  </si>
  <si>
    <t>R$/litro</t>
  </si>
  <si>
    <t>PRODUÇÃO DE SÊMEN NA PROPRIEDADE</t>
  </si>
  <si>
    <t xml:space="preserve">UTILIZAÇÃO DE SÊMEN DE CENTRAL </t>
  </si>
  <si>
    <t xml:space="preserve">MATERIAIS UTILIZADOS NA INSEMINAÇÃO </t>
  </si>
  <si>
    <t>R$/KWh</t>
  </si>
  <si>
    <t>Depreciação mensal</t>
  </si>
  <si>
    <t>Depreciação semanal</t>
  </si>
  <si>
    <t>Sanidade - vacinas</t>
  </si>
  <si>
    <t xml:space="preserve">REPOSIÇÃO </t>
  </si>
  <si>
    <t xml:space="preserve">GESTAÇÃO </t>
  </si>
  <si>
    <t>MATERNIDADE</t>
  </si>
  <si>
    <t>CRECHE</t>
  </si>
  <si>
    <t xml:space="preserve">CRESCIMENTO E TERMINAÇÃO </t>
  </si>
  <si>
    <t xml:space="preserve">Sanidade - medicamentos </t>
  </si>
  <si>
    <t>Medicamento 1</t>
  </si>
  <si>
    <t>Medicamento 2</t>
  </si>
  <si>
    <t>Medicamento 3</t>
  </si>
  <si>
    <t xml:space="preserve">Reposição - fêmeas em recria </t>
  </si>
  <si>
    <t>Pré-lactação (110 aos 114d)</t>
  </si>
  <si>
    <t>Dias não produtivos</t>
  </si>
  <si>
    <t>Fêmeas em produção (gestação) e machos (cachaços e rufiões)</t>
  </si>
  <si>
    <t xml:space="preserve">Horas na reposição/dia </t>
  </si>
  <si>
    <t xml:space="preserve">Horas na reprodução/dia </t>
  </si>
  <si>
    <t>Líder</t>
  </si>
  <si>
    <t>RT</t>
  </si>
  <si>
    <t>Lactação (115 aos 139d)</t>
  </si>
  <si>
    <t xml:space="preserve">Intervalo desmama-estro </t>
  </si>
  <si>
    <t>Leitões</t>
  </si>
  <si>
    <t>Sanidade - medicamentos</t>
  </si>
  <si>
    <t xml:space="preserve">Horas na maternidade/dia </t>
  </si>
  <si>
    <t>Creche</t>
  </si>
  <si>
    <t xml:space="preserve">Horas na creche/dia </t>
  </si>
  <si>
    <t xml:space="preserve">Crescimento e terminação </t>
  </si>
  <si>
    <t xml:space="preserve">Cevado </t>
  </si>
  <si>
    <t>Cevado</t>
  </si>
  <si>
    <t xml:space="preserve">Horas na terminação/dia </t>
  </si>
  <si>
    <t xml:space="preserve">A - CUSTOS VARIÁVEIS </t>
  </si>
  <si>
    <t>1. Alimentação</t>
  </si>
  <si>
    <t>1.1</t>
  </si>
  <si>
    <t>1.1.1</t>
  </si>
  <si>
    <t>1.1.2</t>
  </si>
  <si>
    <t>Subtotal despesas com alimentação das fêmeas de reposição</t>
  </si>
  <si>
    <t>CUSTO SEMANAL</t>
  </si>
  <si>
    <t>2.1.1</t>
  </si>
  <si>
    <t>2.1.2</t>
  </si>
  <si>
    <t>2.1.3</t>
  </si>
  <si>
    <t>2.1</t>
  </si>
  <si>
    <t xml:space="preserve">Subtotal despesas veterinárias com fêmeas de reposição </t>
  </si>
  <si>
    <t>2.2</t>
  </si>
  <si>
    <t xml:space="preserve">Medicamentos </t>
  </si>
  <si>
    <t>2. Despesas veterinárias (vacinas e medicamentos)</t>
  </si>
  <si>
    <t>2.2.1</t>
  </si>
  <si>
    <t>2.2.2</t>
  </si>
  <si>
    <t>2.2.3</t>
  </si>
  <si>
    <t>Vacinas</t>
  </si>
  <si>
    <t>2.1.4</t>
  </si>
  <si>
    <t>2.1.5</t>
  </si>
  <si>
    <t>2.1.6</t>
  </si>
  <si>
    <t>2.</t>
  </si>
  <si>
    <t>1.</t>
  </si>
  <si>
    <t>I - DESPESAS DE CUSTEIO DOS ANIMAIS</t>
  </si>
  <si>
    <t>1.2</t>
  </si>
  <si>
    <t xml:space="preserve">Subtotal custeio da criação </t>
  </si>
  <si>
    <t>1.2.1</t>
  </si>
  <si>
    <t>1.2.2</t>
  </si>
  <si>
    <t>1.2.3</t>
  </si>
  <si>
    <t>1.3</t>
  </si>
  <si>
    <t>1.4</t>
  </si>
  <si>
    <t>1.3.1</t>
  </si>
  <si>
    <t>1.3.2</t>
  </si>
  <si>
    <t>1.3.3</t>
  </si>
  <si>
    <t>1.4.1</t>
  </si>
  <si>
    <t>1.4.2</t>
  </si>
  <si>
    <t>1.5</t>
  </si>
  <si>
    <t>1.5.1</t>
  </si>
  <si>
    <t>Subtotal despesas com alimentação das fêmeas em produção (gestação) e machos (cachaços e rufiões)</t>
  </si>
  <si>
    <t>1.6</t>
  </si>
  <si>
    <t>1.7</t>
  </si>
  <si>
    <t>1.6.1</t>
  </si>
  <si>
    <t>1.6.2</t>
  </si>
  <si>
    <t>1.8</t>
  </si>
  <si>
    <t>1.7.1</t>
  </si>
  <si>
    <t>1.7.2</t>
  </si>
  <si>
    <t>1.7.3</t>
  </si>
  <si>
    <t>1.7.4</t>
  </si>
  <si>
    <t>1.9</t>
  </si>
  <si>
    <t>1.10</t>
  </si>
  <si>
    <t>1.8.1</t>
  </si>
  <si>
    <t>1.8.2</t>
  </si>
  <si>
    <t>Subtotal despesas com alimentação dos animais do setor de maternidade</t>
  </si>
  <si>
    <t>1.9.1</t>
  </si>
  <si>
    <t>1.9.2</t>
  </si>
  <si>
    <t>1.9.3</t>
  </si>
  <si>
    <t>1.9.4</t>
  </si>
  <si>
    <t>1.10.1</t>
  </si>
  <si>
    <t>1.10.2</t>
  </si>
  <si>
    <t>1.10.3</t>
  </si>
  <si>
    <t>1.10.4</t>
  </si>
  <si>
    <t>Subtotal despesas com alimentação dos leitões de creche</t>
  </si>
  <si>
    <t>Subtotal despesas com alimentação dos cevados</t>
  </si>
  <si>
    <t>SUBTOTAL DESPESAS COM ALIMENTAÇÃO</t>
  </si>
  <si>
    <t>2.3</t>
  </si>
  <si>
    <t>2.4</t>
  </si>
  <si>
    <t>2.5</t>
  </si>
  <si>
    <t>2.3.1</t>
  </si>
  <si>
    <t>2.3.2</t>
  </si>
  <si>
    <t>2.3.3</t>
  </si>
  <si>
    <t>2.4.1</t>
  </si>
  <si>
    <t>2.5.1</t>
  </si>
  <si>
    <t>2.6</t>
  </si>
  <si>
    <t>Marrãs</t>
  </si>
  <si>
    <t>2.7</t>
  </si>
  <si>
    <t>2.8</t>
  </si>
  <si>
    <t>2.9</t>
  </si>
  <si>
    <t>2.6.1</t>
  </si>
  <si>
    <t>2.7.1</t>
  </si>
  <si>
    <t>2.7.2</t>
  </si>
  <si>
    <t>2.8.1</t>
  </si>
  <si>
    <t>2.8.2</t>
  </si>
  <si>
    <t>2.9.1</t>
  </si>
  <si>
    <t>Subtotal despesas veterinárias das fêmeas em produção (gestação) e machos (cachaços e rufiões)</t>
  </si>
  <si>
    <t xml:space="preserve">CUSTO MENSAL </t>
  </si>
  <si>
    <t xml:space="preserve">CUSTO ANUAL </t>
  </si>
  <si>
    <t>CUSTO DE PRODUÇÃO DO CEVADO (R$)</t>
  </si>
  <si>
    <t>2.10</t>
  </si>
  <si>
    <t>Vacina 2</t>
  </si>
  <si>
    <t>2.10.1</t>
  </si>
  <si>
    <t>2.10.2</t>
  </si>
  <si>
    <t>2.11</t>
  </si>
  <si>
    <t>2.11.1</t>
  </si>
  <si>
    <t>2.11.2</t>
  </si>
  <si>
    <t>2.12</t>
  </si>
  <si>
    <t>2.13</t>
  </si>
  <si>
    <t>2.12.1</t>
  </si>
  <si>
    <t>2.12.2</t>
  </si>
  <si>
    <t>2.13.1</t>
  </si>
  <si>
    <t>2.13.2</t>
  </si>
  <si>
    <t>SETOR DE MATERNIDADE</t>
  </si>
  <si>
    <t>SETOR DE CRECHE</t>
  </si>
  <si>
    <t xml:space="preserve">SETOR DE CRESCIMENTO E TERMINAÇÃO </t>
  </si>
  <si>
    <t>Subtotal despesas veterinárias dos animais do setor de maternidade</t>
  </si>
  <si>
    <t>2.14</t>
  </si>
  <si>
    <t>2.14.1</t>
  </si>
  <si>
    <t>2.14.2</t>
  </si>
  <si>
    <t>2.14.3</t>
  </si>
  <si>
    <t>2.14.4</t>
  </si>
  <si>
    <t>2.14.5</t>
  </si>
  <si>
    <t>Subtotal despesas veterinárias dos leitões de creche</t>
  </si>
  <si>
    <t>2.15</t>
  </si>
  <si>
    <t>2.15.1</t>
  </si>
  <si>
    <t>2.15.2</t>
  </si>
  <si>
    <t>2.15.3</t>
  </si>
  <si>
    <t>2.15.4</t>
  </si>
  <si>
    <t>2.15.5</t>
  </si>
  <si>
    <t>Subtotal despesas veterinárias dos cevados</t>
  </si>
  <si>
    <t>SUBTOTAL DESPESAS VETERINÁRIAS</t>
  </si>
  <si>
    <t>3. Despesas com manejos reprodutivos</t>
  </si>
  <si>
    <t>3.1</t>
  </si>
  <si>
    <t>3.1.1</t>
  </si>
  <si>
    <t>3.1.2</t>
  </si>
  <si>
    <t>3.1.3</t>
  </si>
  <si>
    <t>3.1.4</t>
  </si>
  <si>
    <t>3.1.5</t>
  </si>
  <si>
    <t>3.2</t>
  </si>
  <si>
    <t xml:space="preserve">Sêmen de central </t>
  </si>
  <si>
    <t>3.3</t>
  </si>
  <si>
    <t xml:space="preserve">Materiais utilizados na inseminação </t>
  </si>
  <si>
    <t>Bisnaga intra-urerina</t>
  </si>
  <si>
    <t>3.3.1</t>
  </si>
  <si>
    <t>3.3.2</t>
  </si>
  <si>
    <t>3.3.3</t>
  </si>
  <si>
    <t>3.3.4</t>
  </si>
  <si>
    <t>3.3.5</t>
  </si>
  <si>
    <t>3.3.6</t>
  </si>
  <si>
    <t>SUBTOTAL DESPESAS DE MANEJOS REPRODUTIVOS</t>
  </si>
  <si>
    <t>II - OUTRAS DESPESAS VARIÁVEIS</t>
  </si>
  <si>
    <t xml:space="preserve">III - MÃO-DE-OBRA </t>
  </si>
  <si>
    <t xml:space="preserve">SETOR DE GESTAÇÃO </t>
  </si>
  <si>
    <t>1. Despesas com mão-de-obra fixa</t>
  </si>
  <si>
    <t>Mão de obra fixa</t>
  </si>
  <si>
    <t xml:space="preserve">Gerente de granja </t>
  </si>
  <si>
    <t>Motorista</t>
  </si>
  <si>
    <t xml:space="preserve">Secretaria </t>
  </si>
  <si>
    <t>Secretário(a)</t>
  </si>
  <si>
    <t xml:space="preserve">Gerente </t>
  </si>
  <si>
    <t xml:space="preserve">Pró-labore do proprietário </t>
  </si>
  <si>
    <t>Proprietário</t>
  </si>
  <si>
    <t>Instalações gestação coletiva</t>
  </si>
  <si>
    <t xml:space="preserve">Setor de reposição </t>
  </si>
  <si>
    <t>Setor de reprodução (laboratório; central de inseminação)</t>
  </si>
  <si>
    <t>Setor de maternidade</t>
  </si>
  <si>
    <t xml:space="preserve">Setor de creche </t>
  </si>
  <si>
    <t xml:space="preserve">Setor de gestação </t>
  </si>
  <si>
    <t>Conchas</t>
  </si>
  <si>
    <t xml:space="preserve">Carrinho para alimentação </t>
  </si>
  <si>
    <t xml:space="preserve">Bebedouro </t>
  </si>
  <si>
    <t xml:space="preserve">Gestação em gaiolas </t>
  </si>
  <si>
    <t xml:space="preserve">LABORATÓRIO DE REPRODUÇÃO </t>
  </si>
  <si>
    <t xml:space="preserve">Destilador </t>
  </si>
  <si>
    <t>Estufa</t>
  </si>
  <si>
    <t xml:space="preserve">Banho maria </t>
  </si>
  <si>
    <t xml:space="preserve">Manequim </t>
  </si>
  <si>
    <t xml:space="preserve">Ar condicionado </t>
  </si>
  <si>
    <t xml:space="preserve">Geladeira </t>
  </si>
  <si>
    <t xml:space="preserve">Microscópio </t>
  </si>
  <si>
    <t>Tapetes</t>
  </si>
  <si>
    <t xml:space="preserve">Caneca térmica de coleta </t>
  </si>
  <si>
    <t xml:space="preserve">Mangueira </t>
  </si>
  <si>
    <t xml:space="preserve">Mesa </t>
  </si>
  <si>
    <t xml:space="preserve">Cadeira </t>
  </si>
  <si>
    <t xml:space="preserve">Computador </t>
  </si>
  <si>
    <t xml:space="preserve">Cortina </t>
  </si>
  <si>
    <t xml:space="preserve">Lâmpada instalações </t>
  </si>
  <si>
    <t>CACHAÇOS</t>
  </si>
  <si>
    <t>RUFIÕES</t>
  </si>
  <si>
    <t xml:space="preserve">Ventiladores </t>
  </si>
  <si>
    <t>Geladeira (vacinas)</t>
  </si>
  <si>
    <t xml:space="preserve">Estação automática de alimentação </t>
  </si>
  <si>
    <t>Chips (identificação eletrônica das matrizes)</t>
  </si>
  <si>
    <t>Mangueira</t>
  </si>
  <si>
    <t xml:space="preserve">Escamoteador </t>
  </si>
  <si>
    <t xml:space="preserve">Lâmpada de aquecimento para leitões </t>
  </si>
  <si>
    <t>Comedouro creep feeding</t>
  </si>
  <si>
    <t xml:space="preserve">Euipamento corte de cauda </t>
  </si>
  <si>
    <t>Desbastador de dentes</t>
  </si>
  <si>
    <t xml:space="preserve">Aplicador de vacinas </t>
  </si>
  <si>
    <t xml:space="preserve">Balança </t>
  </si>
  <si>
    <t xml:space="preserve">Piso de plástico </t>
  </si>
  <si>
    <t xml:space="preserve">Alimetador automático </t>
  </si>
  <si>
    <t xml:space="preserve">Lâmpadas instalação </t>
  </si>
  <si>
    <t xml:space="preserve">ESCRITÓRIO </t>
  </si>
  <si>
    <t>Mesa</t>
  </si>
  <si>
    <t xml:space="preserve">Armário </t>
  </si>
  <si>
    <t xml:space="preserve">Impressora </t>
  </si>
  <si>
    <t>CANTINA</t>
  </si>
  <si>
    <t xml:space="preserve">Fogão </t>
  </si>
  <si>
    <t xml:space="preserve">Filtro de água </t>
  </si>
  <si>
    <t>LIMPEZA</t>
  </si>
  <si>
    <t>Lavador de botas</t>
  </si>
  <si>
    <t>Máquina de Lavar</t>
  </si>
  <si>
    <t xml:space="preserve">Tanquinho </t>
  </si>
  <si>
    <t>VEÍCULOS</t>
  </si>
  <si>
    <t xml:space="preserve">Caminhão </t>
  </si>
  <si>
    <t xml:space="preserve">Carro </t>
  </si>
  <si>
    <t xml:space="preserve">Pickup </t>
  </si>
  <si>
    <t>Capital imobilizado - Ativos biológicos</t>
  </si>
  <si>
    <t>Capital imobilizado - Instalações</t>
  </si>
  <si>
    <t>Capital imobilizado - Máquinas e Equipamentos</t>
  </si>
  <si>
    <t xml:space="preserve">CARACTERIZAÇÃO DO SISTEMA </t>
  </si>
  <si>
    <t>Informações gerais</t>
  </si>
  <si>
    <t xml:space="preserve">Área total da propriedade </t>
  </si>
  <si>
    <t>hectares</t>
  </si>
  <si>
    <t xml:space="preserve">Área construída </t>
  </si>
  <si>
    <t>Área usada pela suinocultura</t>
  </si>
  <si>
    <t>Área de APP/Reserva legal</t>
  </si>
  <si>
    <t>Remuneração pelo trabalho do proprietário (pró-labore)</t>
  </si>
  <si>
    <t>R$/mês</t>
  </si>
  <si>
    <t>Quanto à reposição</t>
  </si>
  <si>
    <t>A reposição das fêmeas é interna ou externa?</t>
  </si>
  <si>
    <t xml:space="preserve">Interna </t>
  </si>
  <si>
    <t>Internet</t>
  </si>
  <si>
    <t>Telefonia</t>
  </si>
  <si>
    <t>Telefonia e serviço de internet</t>
  </si>
  <si>
    <t>Combustíveis</t>
  </si>
  <si>
    <t>Álcool</t>
  </si>
  <si>
    <t>Quanto à reproduçao</t>
  </si>
  <si>
    <t>O sêmen utilizado é produzido na propriedade, comprado, ou ambos?</t>
  </si>
  <si>
    <t xml:space="preserve">Ambos </t>
  </si>
  <si>
    <t>Kwh/mês</t>
  </si>
  <si>
    <t>Custo mensal com energia elétrica</t>
  </si>
  <si>
    <t>Custo mensal com telefone e internet</t>
  </si>
  <si>
    <t>Custo mensal com combustíveis</t>
  </si>
  <si>
    <t>Energia elétrica (tarifa rural)</t>
  </si>
  <si>
    <t xml:space="preserve">porcentagem </t>
  </si>
  <si>
    <t>Valor do arrendamento da terra na região</t>
  </si>
  <si>
    <t xml:space="preserve">Financeiro </t>
  </si>
  <si>
    <t>Impostos e taxas variáveis</t>
  </si>
  <si>
    <t>Impostos (ICMS entre outros)</t>
  </si>
  <si>
    <t>R$/ano</t>
  </si>
  <si>
    <t>GTA</t>
  </si>
  <si>
    <t>Impostos e taxas fixas</t>
  </si>
  <si>
    <t>Impostos (ITR, entre outros)</t>
  </si>
  <si>
    <t>Taxas (Sindicato, Associação, entre outros)</t>
  </si>
  <si>
    <t xml:space="preserve">Funrural </t>
  </si>
  <si>
    <t>Padrão - Reposição</t>
  </si>
  <si>
    <t>Líder - reposição</t>
  </si>
  <si>
    <t xml:space="preserve">Técnico - Reprodução </t>
  </si>
  <si>
    <t xml:space="preserve">Padrão - Reprodução </t>
  </si>
  <si>
    <t>Líder - Gestação</t>
  </si>
  <si>
    <t>Técnico</t>
  </si>
  <si>
    <t>Líder - maternidade</t>
  </si>
  <si>
    <t>Padrão- maternidade</t>
  </si>
  <si>
    <t xml:space="preserve">Padrão - Gestação </t>
  </si>
  <si>
    <t>Líder - creche</t>
  </si>
  <si>
    <t>Padrão - creche</t>
  </si>
  <si>
    <t>Líder - cresc. terminação</t>
  </si>
  <si>
    <t>Padrão - cresc. terminação</t>
  </si>
  <si>
    <t>Responsável técnico (Zoote.; Med. Vet.; Agron.)</t>
  </si>
  <si>
    <t xml:space="preserve">Subtotal despesas mão-de-obra fixa com fêmeas de reposição </t>
  </si>
  <si>
    <t>1.1.3</t>
  </si>
  <si>
    <t>1.1.4</t>
  </si>
  <si>
    <t>1.1.5</t>
  </si>
  <si>
    <t>1.1.6</t>
  </si>
  <si>
    <t>Subtotal despesas mão-de-obra fixa com fêmeas em produção (gestação) e machos (cachaços e rufiões)</t>
  </si>
  <si>
    <t>1.1.7</t>
  </si>
  <si>
    <t>1.1.8</t>
  </si>
  <si>
    <t>Subtotal despesas mão-de-obra fixa com os animais da maternidade</t>
  </si>
  <si>
    <t>1.1.9</t>
  </si>
  <si>
    <t>1.1.10</t>
  </si>
  <si>
    <t>Subtotal despesas mão-de-obra fixa com os leitões de creche</t>
  </si>
  <si>
    <t>1.1.11</t>
  </si>
  <si>
    <t>1.1.12</t>
  </si>
  <si>
    <t>Subtotal despesas mão-de-obra fixa com os cevados</t>
  </si>
  <si>
    <t>1.1.13</t>
  </si>
  <si>
    <t>1.1.14</t>
  </si>
  <si>
    <t>1.1.15</t>
  </si>
  <si>
    <t>1.1.16</t>
  </si>
  <si>
    <t>1.1.17</t>
  </si>
  <si>
    <t>2. Despesas com mão-de-obra temporária</t>
  </si>
  <si>
    <t>Consultor técnico</t>
  </si>
  <si>
    <t>SUBTOTAL DESPESAS  COM MÃO-DE-OBRA</t>
  </si>
  <si>
    <t>1. Despesas com serviço de telefonia e internet</t>
  </si>
  <si>
    <t>Subtotal despesas com telefonia e internet</t>
  </si>
  <si>
    <t>IV - TELEFONIA, INTERNET, ENERGIA E COMBUSTÍVEIS</t>
  </si>
  <si>
    <t>Subtotal despesas com energia elétrica</t>
  </si>
  <si>
    <t>3. Despesas com combustíveis</t>
  </si>
  <si>
    <t xml:space="preserve">Geral - granja como um todo </t>
  </si>
  <si>
    <t xml:space="preserve">GERAL </t>
  </si>
  <si>
    <t>Subtotal despesas mão-de-obra temporária "geral"</t>
  </si>
  <si>
    <t>Subtotal despesas mão-de-obra fixa "geral"</t>
  </si>
  <si>
    <t>Subtotal despesas com combustíveis</t>
  </si>
  <si>
    <t>SUBTOTAL DESPESAS  COM TELEFONIA, INTERNET, ENERGIA E COMBUSTÍVEIS</t>
  </si>
  <si>
    <t>V - DEPRECIAÇÕES</t>
  </si>
  <si>
    <t>1. Benfeitorias e instalações</t>
  </si>
  <si>
    <t>1.11</t>
  </si>
  <si>
    <t>1.12</t>
  </si>
  <si>
    <t>1.13</t>
  </si>
  <si>
    <t>1.14</t>
  </si>
  <si>
    <t>1.15</t>
  </si>
  <si>
    <t>1.16</t>
  </si>
  <si>
    <t xml:space="preserve">2. Máquinas e implementos </t>
  </si>
  <si>
    <t xml:space="preserve">Comedouros fêmeas reposição </t>
  </si>
  <si>
    <t xml:space="preserve">Bebedouros fêmeas reposição </t>
  </si>
  <si>
    <t>Conchas (reposição)</t>
  </si>
  <si>
    <t>Carrinho para alimentação</t>
  </si>
  <si>
    <t>Bebedouros cachaços</t>
  </si>
  <si>
    <t>Carrinho para alimentação cachaços</t>
  </si>
  <si>
    <t>Bebedouros rufiões</t>
  </si>
  <si>
    <t>Carrinho para alimentação rufiões</t>
  </si>
  <si>
    <t xml:space="preserve">Gaiolas gestação </t>
  </si>
  <si>
    <t>Bebedouro gestação</t>
  </si>
  <si>
    <t>Bebedouro gest. Coletiva</t>
  </si>
  <si>
    <t>Alimentador automático (gestação)</t>
  </si>
  <si>
    <t>Alimentador automático (maternidade)</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</si>
  <si>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</si>
  <si>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</si>
  <si>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</si>
  <si>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</si>
  <si>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</si>
  <si>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</si>
  <si>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</si>
  <si>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</si>
  <si>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</si>
  <si>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</si>
  <si>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</si>
  <si>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</si>
  <si>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</si>
  <si>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</si>
  <si>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</si>
  <si>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</si>
  <si>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</si>
  <si>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</si>
  <si>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</si>
  <si>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</si>
  <si>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</si>
  <si>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</si>
  <si>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</si>
  <si>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</si>
  <si>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</si>
  <si>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</si>
  <si>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</si>
  <si>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</si>
  <si>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</si>
  <si>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</si>
  <si>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</si>
  <si>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</si>
  <si>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</si>
  <si>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</si>
  <si>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</si>
  <si>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</si>
  <si>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</si>
  <si>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</si>
  <si>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</si>
  <si>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</si>
  <si>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</si>
  <si>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</si>
  <si>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</si>
  <si>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</si>
  <si>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</si>
  <si>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</si>
  <si>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</si>
  <si>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</si>
  <si>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</si>
  <si>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</si>
  <si>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</si>
  <si>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</si>
  <si>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</si>
  <si>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</si>
  <si>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</si>
  <si>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</si>
  <si>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</si>
  <si>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</si>
  <si>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</si>
  <si>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</si>
  <si>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</si>
  <si>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</si>
  <si>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</si>
  <si>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</si>
  <si>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</si>
  <si>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</si>
  <si>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</si>
  <si>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</si>
  <si>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</si>
  <si>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</si>
  <si>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</si>
  <si>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</si>
  <si>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</si>
  <si>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</si>
  <si>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</si>
  <si>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</si>
  <si>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</si>
  <si>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</si>
  <si>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</si>
  <si>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</si>
  <si>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</si>
  <si>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</si>
  <si>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</si>
  <si>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Subtotal despesas depreciação de instalações de fêmeas em produção (gestação) e machos (cachaços e rufiões)</t>
  </si>
  <si>
    <t>Subtotal despesas depreciação de instalações do setor de reposição</t>
  </si>
  <si>
    <t>Subtotal despesas depreciação de instalações do setor de maternidade</t>
  </si>
  <si>
    <t>Subtotal despesas depreciação de instalações do setor de creche</t>
  </si>
  <si>
    <t>Subtotal despesas depreciação de instalações do setor de cresc. terminação</t>
  </si>
  <si>
    <t>Subtotal despesas depreciação de instalações "geral"</t>
  </si>
  <si>
    <t>Subtotal despesas depreciação de máquinas e implementos - reposição</t>
  </si>
  <si>
    <t>Subtotal despesas depreciação de máquinas e implementos - gestação</t>
  </si>
  <si>
    <t>Subtotal despesas depreciação de máquinas e implementos - maternidade</t>
  </si>
  <si>
    <t>Subtotal despesas depreciação de máquinas e implementos - creche</t>
  </si>
  <si>
    <t>3. Ativos Biológicos</t>
  </si>
  <si>
    <t>Fêmeas para reprodução</t>
  </si>
  <si>
    <t>SUBTOTAL DESPESAS COM DEPRECIAÇÕES</t>
  </si>
  <si>
    <t>VI - MANUTENÇÕES E CONSERVAÇÃO</t>
  </si>
  <si>
    <t>B - CUSTOS FIXOS</t>
  </si>
  <si>
    <t>1.  Manutenção de instalações</t>
  </si>
  <si>
    <t>Subtotal despesas manutenção de instalações do setor de reposição</t>
  </si>
  <si>
    <t>Subtotal despesas manutenção de instalações de fêmeas em produção (gestação) e machos (cachaços e rufiões)</t>
  </si>
  <si>
    <t>Subtotal despesas manutenção de instalações do setor de creche</t>
  </si>
  <si>
    <t>Subtotal despesas manuntenção de instalações do setor de cresc. terminação</t>
  </si>
  <si>
    <t>Subtotal despesas manutenção de instalações "geral"</t>
  </si>
  <si>
    <t>Subtotal despesas manuntenção de máquinas e implementos - reposição</t>
  </si>
  <si>
    <t>Laboratório de reprodução</t>
  </si>
  <si>
    <t>Gestação em gaiolas</t>
  </si>
  <si>
    <t>Subtotal despesas manutenção de máquinas e implementos - gestação</t>
  </si>
  <si>
    <t>Subtotal despesas manutenção de máquinas e implementos - cresc. terminação</t>
  </si>
  <si>
    <t>Subtotal despesas manutenção de máquinas e implementos - creche</t>
  </si>
  <si>
    <t>Subtotal despesas manutenção de máquinas e implementos - maternidade</t>
  </si>
  <si>
    <t>Subtotal despesas manuntenção de máquinas e implementos "geral"</t>
  </si>
  <si>
    <t>Subtotal despesas depreciação de máquinas e implementos "geral"</t>
  </si>
  <si>
    <t xml:space="preserve">Subtotal despesas depreciação dos ativos biológicos </t>
  </si>
  <si>
    <t xml:space="preserve">SUBTOTAL DESPESAS COM MANUTENÇÕES E CONSERVAÇÃO </t>
  </si>
  <si>
    <t>VII - OUTRAS DESPESAS FIXAS</t>
  </si>
  <si>
    <t>3.</t>
  </si>
  <si>
    <t>SUBTOTAL DESPESAS FINANCEIRAS - FIXAS</t>
  </si>
  <si>
    <t>SUBTOTAL DESPESAS FINANCEIRAS VARIÁVIES</t>
  </si>
  <si>
    <t xml:space="preserve">CUSTOS VARIÁVEIS </t>
  </si>
  <si>
    <t>CUSTOS FIXOS</t>
  </si>
  <si>
    <t>C - CUSTO OPERACIONAL (A + B)</t>
  </si>
  <si>
    <t>Taxa de manutenção anual</t>
  </si>
  <si>
    <t>Manutenção e conservação de instalações</t>
  </si>
  <si>
    <t>Manutenção e conservação de máquinas e implementos</t>
  </si>
  <si>
    <t xml:space="preserve">1. Remuneração sobre o capital imobilizado </t>
  </si>
  <si>
    <t>Remuneração sobre o capital - instalações</t>
  </si>
  <si>
    <t>Remuneração sobre o capital - reprodutores</t>
  </si>
  <si>
    <t>Remuneração sobre o capital - fêmeas para reposição</t>
  </si>
  <si>
    <t>2. Remuneração sobre o capital de giro</t>
  </si>
  <si>
    <t xml:space="preserve">3. Terra (custo de oportunidade do arrendamento) </t>
  </si>
  <si>
    <t>E - CUSTO TOTAL (C + D)</t>
  </si>
  <si>
    <t>Custo total por cevado (cabeça)</t>
  </si>
  <si>
    <t>Custo total por cevado (Kg vivo)</t>
  </si>
  <si>
    <t xml:space="preserve">Tipo de custo </t>
  </si>
  <si>
    <t xml:space="preserve">Alimentação </t>
  </si>
  <si>
    <t>Sanidade</t>
  </si>
  <si>
    <t xml:space="preserve">Mão de obra </t>
  </si>
  <si>
    <t>Depreciações</t>
  </si>
  <si>
    <t>Manutenções</t>
  </si>
  <si>
    <t>Taxas e impostos</t>
  </si>
  <si>
    <t xml:space="preserve">Item de custo </t>
  </si>
  <si>
    <t xml:space="preserve">Total </t>
  </si>
  <si>
    <t xml:space="preserve">Valor real da granja </t>
  </si>
  <si>
    <t xml:space="preserve">Índices </t>
  </si>
  <si>
    <t xml:space="preserve">Conversão alimentar </t>
  </si>
  <si>
    <t xml:space="preserve">Ganho de peso diário </t>
  </si>
  <si>
    <t xml:space="preserve">Peso de entrada </t>
  </si>
  <si>
    <t xml:space="preserve">Creche </t>
  </si>
  <si>
    <t>Peso de saída</t>
  </si>
  <si>
    <t xml:space="preserve">Ganho de peso no período </t>
  </si>
  <si>
    <t>]</t>
  </si>
  <si>
    <t>Taxa de mortalidade de matrizes</t>
  </si>
  <si>
    <t>Taxa de mortalidade de cachaços</t>
  </si>
  <si>
    <t>Taxa de mortalidade pré-desmame</t>
  </si>
  <si>
    <t xml:space="preserve">Taxa de mortalidade creche </t>
  </si>
  <si>
    <t>Cevados vendidos/porca/ano</t>
  </si>
  <si>
    <t>Rebanho</t>
  </si>
  <si>
    <t>Número de rufiões</t>
  </si>
  <si>
    <t xml:space="preserve">Tamanho de plantel </t>
  </si>
  <si>
    <t xml:space="preserve">Idades de entrada e saída </t>
  </si>
  <si>
    <t xml:space="preserve">Idade ao desmame (dias) </t>
  </si>
  <si>
    <t>Idade de entrada (dias)</t>
  </si>
  <si>
    <t>Idade 1ª cobertura (dias)</t>
  </si>
  <si>
    <t xml:space="preserve">Idade de saída da creche (dias) </t>
  </si>
  <si>
    <t xml:space="preserve">Idade ao abate 120 kg (dias) </t>
  </si>
  <si>
    <t>Leitão desmamado</t>
  </si>
  <si>
    <t xml:space="preserve">Leitão descrechado </t>
  </si>
  <si>
    <t>Peso dos animais de descarte</t>
  </si>
  <si>
    <t xml:space="preserve">Nascidos vivos por parto </t>
  </si>
  <si>
    <t>Taxa de descarte anual das matrizes</t>
  </si>
  <si>
    <t xml:space="preserve">Dias não produtivos </t>
  </si>
  <si>
    <t>Peso médio dos nascidos</t>
  </si>
  <si>
    <t xml:space="preserve">Vazio sanitario </t>
  </si>
  <si>
    <t>Vazio sanitário (dias)</t>
  </si>
  <si>
    <t>Taxa de descarte anual das fêmeas (%)</t>
  </si>
  <si>
    <t>Número de inseminações/porca</t>
  </si>
  <si>
    <t>Taxa de retorno ao cio (%)</t>
  </si>
  <si>
    <t>Taxa de parto (%)</t>
  </si>
  <si>
    <t>Natimortos por parto (%)</t>
  </si>
  <si>
    <t>Mumificados por parto (%)</t>
  </si>
  <si>
    <t>Taxa de aborto (%)</t>
  </si>
  <si>
    <t>Taxa de reposição dos reprodutores</t>
  </si>
  <si>
    <t>Número de matrizes produtivas</t>
  </si>
  <si>
    <t xml:space="preserve">Descrição </t>
  </si>
  <si>
    <t>Transporte dos animais (plataforma ao abatedouro)</t>
  </si>
  <si>
    <t xml:space="preserve">Seguro </t>
  </si>
  <si>
    <t xml:space="preserve">Quilometragem </t>
  </si>
  <si>
    <t>Custo do transporte (R$)</t>
  </si>
  <si>
    <t>Preço por Km (R$)</t>
  </si>
  <si>
    <t xml:space="preserve">Taxa </t>
  </si>
  <si>
    <t>Preço da dose (R$/dose)</t>
  </si>
  <si>
    <t>Preço do quilo de ração (R$/Kg)</t>
  </si>
  <si>
    <t>Salário com encargos (R$/mês)</t>
  </si>
  <si>
    <t>Preço unitário (R$/unidade)</t>
  </si>
  <si>
    <t>Preço da dose inseminante (R$/dose)</t>
  </si>
  <si>
    <t>Custo do seguro (R$)</t>
  </si>
  <si>
    <t>4.1</t>
  </si>
  <si>
    <t>4.2</t>
  </si>
  <si>
    <t xml:space="preserve">SUBTOTAL DESPESAS COM TRANSPORTES E SEGUROS </t>
  </si>
  <si>
    <t>INVENTÁRIO FÍSICO</t>
  </si>
  <si>
    <t>Subtotal despesas depreciação de máquinas e implementos - cresc. terminação</t>
  </si>
  <si>
    <t>Lactação média das fêmeas (dias)</t>
  </si>
  <si>
    <t>Gestação média das fêmeas (dias)</t>
  </si>
  <si>
    <t>Intervalo entre lotes (dias)</t>
  </si>
  <si>
    <t>Partos/porca/ano</t>
  </si>
  <si>
    <t>Taxa de reposição das fêmeas (% ao ano)</t>
  </si>
  <si>
    <t>Taxa de reposição dos machos (% ao ano)</t>
  </si>
  <si>
    <t xml:space="preserve">Fluxo de produção e dimensionamento de instalações </t>
  </si>
  <si>
    <t xml:space="preserve">Partos semanais </t>
  </si>
  <si>
    <t xml:space="preserve">Número de gaiolas de maternidade na granja </t>
  </si>
  <si>
    <t>Número de partos/gaiola de matern./ano</t>
  </si>
  <si>
    <t xml:space="preserve">Gestação e reposição </t>
  </si>
  <si>
    <t>Reposição anual de matrizes</t>
  </si>
  <si>
    <t xml:space="preserve">Estoque médio de marrãs </t>
  </si>
  <si>
    <t>Número de machos (IA)</t>
  </si>
  <si>
    <t xml:space="preserve">Estoque de reprodutores da granja </t>
  </si>
  <si>
    <t>Número de lotes de porcas</t>
  </si>
  <si>
    <t>Número de porcas por lote</t>
  </si>
  <si>
    <t xml:space="preserve">Espaço total plantel reprodutivo </t>
  </si>
  <si>
    <t>Desmamados/porca/ano</t>
  </si>
  <si>
    <t xml:space="preserve">Número de leitões por lote </t>
  </si>
  <si>
    <t>Espaço total de creche (m²)</t>
  </si>
  <si>
    <t>Espaço para alojar o lote semanal de leitões (m²)</t>
  </si>
  <si>
    <t>Crescimento e terminação</t>
  </si>
  <si>
    <t xml:space="preserve">Abate - Cevado terminado </t>
  </si>
  <si>
    <t xml:space="preserve">Número de lotes cresc. e terminação </t>
  </si>
  <si>
    <t>Período de ocupação no cresc. e terminação (dias)</t>
  </si>
  <si>
    <t xml:space="preserve">Número de animais por lote </t>
  </si>
  <si>
    <t>Número total de animais na instalação</t>
  </si>
  <si>
    <t>Espaço total crescimento e terminação (m²)</t>
  </si>
  <si>
    <t>Espaço para alojar o lote semanal de cevados (m²)</t>
  </si>
  <si>
    <t xml:space="preserve">Calculado </t>
  </si>
  <si>
    <t>Espaço de circulação (gaiolas)</t>
  </si>
  <si>
    <t>Reserva técnica (espaço para fêmeas/gaiolas)</t>
  </si>
  <si>
    <t xml:space="preserve">Número de lotes de parto </t>
  </si>
  <si>
    <t>Intervalo entre partos em dias (IEP)</t>
  </si>
  <si>
    <t>Intervalo desmama cio em dias (IDC)</t>
  </si>
  <si>
    <t xml:space="preserve">Grupo semanal </t>
  </si>
  <si>
    <t xml:space="preserve">Nº de fêmeas inseminadas por semana </t>
  </si>
  <si>
    <t>Lactação (115 aos 138d)</t>
  </si>
  <si>
    <t>Pré-inicial II (32d - 38d)</t>
  </si>
  <si>
    <t>Pré-inicial I (24d - 30d)</t>
  </si>
  <si>
    <t>Inicial I - (39d - 46d)</t>
  </si>
  <si>
    <t>Crescimento II - (91d-110d)</t>
  </si>
  <si>
    <t>Terminação I (111d - 125d)</t>
  </si>
  <si>
    <t>Idade ao abate 110 kg (dias)</t>
  </si>
  <si>
    <t xml:space="preserve">5. Despesas com transportes, carregamentos e seguros </t>
  </si>
  <si>
    <t xml:space="preserve">4. Despesas com bens de consumo </t>
  </si>
  <si>
    <t xml:space="preserve">Nº médio de doses utilizadas por marrã na reposição </t>
  </si>
  <si>
    <t>Vacina 2 (até 38d)</t>
  </si>
  <si>
    <t>Vacina 3 (até 46d)</t>
  </si>
  <si>
    <t>Vacina 4 (até 66 d)</t>
  </si>
  <si>
    <t>Medicamento 4</t>
  </si>
  <si>
    <t>Vacina 2 (até 110d)</t>
  </si>
  <si>
    <t>Vacina 3 (até 125d)</t>
  </si>
  <si>
    <t>Vacina 4 (até 154d)</t>
  </si>
  <si>
    <t>Equipamento 1</t>
  </si>
  <si>
    <t>Equipamento 2</t>
  </si>
  <si>
    <t>Equipamento 3</t>
  </si>
  <si>
    <t>Veículo 2</t>
  </si>
  <si>
    <t>Veículo 3</t>
  </si>
  <si>
    <t xml:space="preserve">Gestação em baias coeltivas </t>
  </si>
  <si>
    <t>Item 1</t>
  </si>
  <si>
    <t>Item 2</t>
  </si>
  <si>
    <t>Item 3</t>
  </si>
  <si>
    <t>1.17</t>
  </si>
  <si>
    <t>2.100</t>
  </si>
  <si>
    <t>2.101</t>
  </si>
  <si>
    <t>2.102</t>
  </si>
  <si>
    <t>2.103</t>
  </si>
  <si>
    <t>2.104</t>
  </si>
  <si>
    <t>2.105</t>
  </si>
  <si>
    <t>2.106</t>
  </si>
  <si>
    <t>2.108</t>
  </si>
  <si>
    <t>2.109</t>
  </si>
  <si>
    <t>2.110</t>
  </si>
  <si>
    <t>2.111</t>
  </si>
  <si>
    <t>2.112</t>
  </si>
  <si>
    <t>2.113</t>
  </si>
  <si>
    <t>2.114</t>
  </si>
  <si>
    <t>2.115</t>
  </si>
  <si>
    <t>Colaborador 1</t>
  </si>
  <si>
    <t>2.4.2</t>
  </si>
  <si>
    <t>2.5.2</t>
  </si>
  <si>
    <t>2.6.2</t>
  </si>
  <si>
    <t>2.9.2</t>
  </si>
  <si>
    <t>2.15.6</t>
  </si>
  <si>
    <t>2.15.7</t>
  </si>
  <si>
    <t>2.15.8</t>
  </si>
  <si>
    <t>4.3</t>
  </si>
  <si>
    <t>4.4</t>
  </si>
  <si>
    <t>4.5</t>
  </si>
  <si>
    <t>4.6</t>
  </si>
  <si>
    <t>4.7</t>
  </si>
  <si>
    <t>4.8</t>
  </si>
  <si>
    <t>4.9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</si>
  <si>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</si>
  <si>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</si>
  <si>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</si>
  <si>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</si>
  <si>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</si>
  <si>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</si>
  <si>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</si>
  <si>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</si>
  <si>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</si>
  <si>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</si>
  <si>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</si>
  <si>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</si>
  <si>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</si>
  <si>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</si>
  <si>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</si>
  <si>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</si>
  <si>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</si>
  <si>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</si>
  <si>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</si>
  <si>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</si>
  <si>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</si>
  <si>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</si>
  <si>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</si>
  <si>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</si>
  <si>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</si>
  <si>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</si>
  <si>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</si>
  <si>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</si>
  <si>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</si>
  <si>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</si>
  <si>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</si>
  <si>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</si>
  <si>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</si>
  <si>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</si>
  <si>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</si>
  <si>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</si>
  <si>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</si>
  <si>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</si>
  <si>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</si>
  <si>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</si>
  <si>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</si>
  <si>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</si>
  <si>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</si>
  <si>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</si>
  <si>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</si>
  <si>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</si>
  <si>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 xml:space="preserve">SUBTOTAL DESPESAS BENS DE CONSUMO </t>
  </si>
  <si>
    <t>1.1.18</t>
  </si>
  <si>
    <t>1.1.19</t>
  </si>
  <si>
    <t>1.1.20</t>
  </si>
  <si>
    <t>1.1.21</t>
  </si>
  <si>
    <t>1.1.22</t>
  </si>
  <si>
    <t>1.1.23</t>
  </si>
  <si>
    <t>1.1.24</t>
  </si>
  <si>
    <t>Diarista rep.</t>
  </si>
  <si>
    <t>Diarista gest.</t>
  </si>
  <si>
    <t>Diarista creche</t>
  </si>
  <si>
    <t>Diarista cresc. term.</t>
  </si>
  <si>
    <t>Diarista granja</t>
  </si>
  <si>
    <t>Subtotal despesas mão-de-obra temporária com os cevados</t>
  </si>
  <si>
    <t>Subtotal despesas mão-de-obra temporária com os leitões de creche</t>
  </si>
  <si>
    <t>Subtotal despesas mão-de-obra temporária com os animais da maternidade</t>
  </si>
  <si>
    <t>Subtotal despesas mão-de-obra temporária com fêmeas em produção (gestação) e machos (cachaços e rufiões)</t>
  </si>
  <si>
    <t xml:space="preserve">Subtotal despesas mão-de-obra temporária com fêmeas de reposição </t>
  </si>
  <si>
    <t>Despesas de custeio da criação de "outros", em reais</t>
  </si>
  <si>
    <t xml:space="preserve">Remuneração sobre o capital - equipamentos </t>
  </si>
  <si>
    <t>Porcentagem de marrãs com IA intrauterina</t>
  </si>
  <si>
    <t>Número de inseminações/marrã</t>
  </si>
  <si>
    <t>Número médio de doses inseminantes (100ml) produzida por cachaço</t>
  </si>
  <si>
    <t>3.2.1</t>
  </si>
  <si>
    <t>3.2.2</t>
  </si>
  <si>
    <t>2.14.6</t>
  </si>
  <si>
    <t>4.67</t>
  </si>
  <si>
    <t>4.68</t>
  </si>
  <si>
    <t>4.69</t>
  </si>
  <si>
    <t>4.70</t>
  </si>
  <si>
    <t>4.71</t>
  </si>
  <si>
    <t>4.72</t>
  </si>
  <si>
    <t>4.73</t>
  </si>
  <si>
    <t>4.74</t>
  </si>
  <si>
    <t>4.75</t>
  </si>
  <si>
    <t>4.76</t>
  </si>
  <si>
    <t xml:space="preserve">Subtotal despesas com bens de consumo com fêmeas de reposição </t>
  </si>
  <si>
    <t>Subtotal despesascpm bens de consumo das fêmeas em produção (gestação) e machos (cachaços e rufiões)</t>
  </si>
  <si>
    <t>Subtotal despesas com bens de consumo dos animais do setor de maternidade</t>
  </si>
  <si>
    <t>Subtotal despesas com bens de consumo dos leitões de creche</t>
  </si>
  <si>
    <t>Subtotal despesas com bens de consumos com os cevados</t>
  </si>
  <si>
    <t>Subtotal despesas com bens de consumos "geral"</t>
  </si>
  <si>
    <t>Valor</t>
  </si>
  <si>
    <t/>
  </si>
  <si>
    <t xml:space="preserve">Receita dos animais de descarte </t>
  </si>
  <si>
    <t>Preços de mercado - cotações</t>
  </si>
  <si>
    <t>R$/semana</t>
  </si>
  <si>
    <t xml:space="preserve">Transportes e seguros </t>
  </si>
  <si>
    <t>Telefonia e internet</t>
  </si>
  <si>
    <t>Energia e combustíveis</t>
  </si>
  <si>
    <t>2. Despesas com energia elétrica</t>
  </si>
  <si>
    <t>% do Custo Total</t>
  </si>
  <si>
    <t>Total</t>
  </si>
  <si>
    <t xml:space="preserve">Indicadores Zootécnicos </t>
  </si>
  <si>
    <t>Vendas</t>
  </si>
  <si>
    <t xml:space="preserve">Animais terminação </t>
  </si>
  <si>
    <t xml:space="preserve">Animais de descarte </t>
  </si>
  <si>
    <t xml:space="preserve">Fêmeas de descarte </t>
  </si>
  <si>
    <t xml:space="preserve">Machos de descarte </t>
  </si>
  <si>
    <t>Quantidade (cabeças)</t>
  </si>
  <si>
    <t>Quantidade (Kg)</t>
  </si>
  <si>
    <t>Total (R$)</t>
  </si>
  <si>
    <t>RECEITAS SEMANAIS DA SUINOCULTURA</t>
  </si>
  <si>
    <t>Peso médio dos leitões nascidos (kg)</t>
  </si>
  <si>
    <t>Creche (kg)</t>
  </si>
  <si>
    <t>Crescimento (kg)</t>
  </si>
  <si>
    <t xml:space="preserve">RECEITA SEMANAL TOTAL </t>
  </si>
  <si>
    <t xml:space="preserve">RECEITA MÉDIA POR CEVADO PRODUZIDO </t>
  </si>
  <si>
    <t xml:space="preserve">RECEITA MÉDIA POR QUILO DE CEVADO PRODUZIDO </t>
  </si>
  <si>
    <t>Descrição</t>
  </si>
  <si>
    <t xml:space="preserve">DETALHAMENTO DO CUSTO </t>
  </si>
  <si>
    <t>Custo em R$/Kg vivo</t>
  </si>
  <si>
    <t xml:space="preserve">Período </t>
  </si>
  <si>
    <t xml:space="preserve">R$ por período </t>
  </si>
  <si>
    <t xml:space="preserve">R$/Kg vivo </t>
  </si>
  <si>
    <t xml:space="preserve">Projeção de lucro ou prejuízo mensal </t>
  </si>
  <si>
    <t xml:space="preserve">Projeção de lucro ou prejuízo anual </t>
  </si>
  <si>
    <t>LUCRO ECONÔMICO DA ATIVIDADE</t>
  </si>
  <si>
    <t xml:space="preserve">RENDA TOTAL AO PRODUTOR </t>
  </si>
  <si>
    <t>Rinite atrófica</t>
  </si>
  <si>
    <t xml:space="preserve">Rinite atrófica </t>
  </si>
  <si>
    <t>Rotavírus + Colibacilose + Enterotoxemia</t>
  </si>
  <si>
    <t>Parvovirose + Leptospirose + Erisipela</t>
  </si>
  <si>
    <t>Parvovirose +Leptospirose +Erisipela</t>
  </si>
  <si>
    <t>Pneumonia Enzoótica</t>
  </si>
  <si>
    <t>2.3.4</t>
  </si>
  <si>
    <t>Circovírus</t>
  </si>
  <si>
    <t>2.3.5</t>
  </si>
  <si>
    <t>2.2.4</t>
  </si>
  <si>
    <t>2.3.6</t>
  </si>
  <si>
    <t>Comedouro</t>
  </si>
  <si>
    <t xml:space="preserve">Vacina </t>
  </si>
  <si>
    <t>Vacina</t>
  </si>
  <si>
    <t xml:space="preserve">RELATÓRIO ECONÔMICO </t>
  </si>
  <si>
    <t xml:space="preserve">Valor da granja </t>
  </si>
  <si>
    <t xml:space="preserve">Valor de referência </t>
  </si>
  <si>
    <t>Produtividade total dos fatores</t>
  </si>
  <si>
    <t>ROI - Retorno sobre o investimento</t>
  </si>
  <si>
    <t>Indicador</t>
  </si>
  <si>
    <t>INDICADORES ECONÔMICOS</t>
  </si>
  <si>
    <t>m²</t>
  </si>
  <si>
    <t>Preço de venda da matriz de descarte</t>
  </si>
  <si>
    <t xml:space="preserve">Preço de venda do cachaço de descarte </t>
  </si>
  <si>
    <t>R$/kg vivo</t>
  </si>
  <si>
    <t>Lâmpada instalações</t>
  </si>
  <si>
    <t xml:space="preserve">Número de matrizes alojadas </t>
  </si>
  <si>
    <t xml:space="preserve">Número de matrizes em gestação coletiva </t>
  </si>
  <si>
    <t>Peso médio das fêmeas de descarte (kg)</t>
  </si>
  <si>
    <t>Peso médio dos machos de descarte (kg)</t>
  </si>
  <si>
    <t>kg de leitões desmamados/porca/ano</t>
  </si>
  <si>
    <t>kg de cevados vendidos/porca/ano</t>
  </si>
  <si>
    <t>Ração 1</t>
  </si>
  <si>
    <t>Ração leitões (até 11d)</t>
  </si>
  <si>
    <t>Ração leitões (11 a 24d)</t>
  </si>
  <si>
    <t>Câmara de Neubauer</t>
  </si>
  <si>
    <t xml:space="preserve">Nº total de fêmeas </t>
  </si>
  <si>
    <t>Nº total de reprodutores</t>
  </si>
  <si>
    <t xml:space="preserve">Setor de Crescimento e Terminação </t>
  </si>
  <si>
    <t>CRESC. TERM.</t>
  </si>
  <si>
    <t>REPROD.</t>
  </si>
  <si>
    <t>Instalações suinocultura</t>
  </si>
  <si>
    <t>Quantidade de galpões ou instalações</t>
  </si>
  <si>
    <t>Metragem unitária</t>
  </si>
  <si>
    <t xml:space="preserve">Drop </t>
  </si>
  <si>
    <t xml:space="preserve">Número de gaiolas de gestação </t>
  </si>
  <si>
    <t>Banco</t>
  </si>
  <si>
    <t>Bens de consumo (gastos mensais)</t>
  </si>
  <si>
    <t>Caixas/mês</t>
  </si>
  <si>
    <t xml:space="preserve">Detergente </t>
  </si>
  <si>
    <t>Unidades/mês</t>
  </si>
  <si>
    <t xml:space="preserve">Transportes, carregamento dos animais e seguro por lote </t>
  </si>
  <si>
    <t xml:space="preserve">Valor positivo </t>
  </si>
  <si>
    <t xml:space="preserve">Despesas semanais de custeio da criação do setor de gestação </t>
  </si>
  <si>
    <t>Despesas semanais de custeio das fêmeas de reposição (R$ por marrã)</t>
  </si>
  <si>
    <t>Despesas semanais de custeio dos leitões de creche (R$ por leitão descrechado)</t>
  </si>
  <si>
    <t>Despesas semanais de custeio da criação do setor de maternidade (R$ por fêmea gestante)</t>
  </si>
  <si>
    <t>Despesas de custeio da criação da fase de crescimento e  terminação (R$ por cevado terminado)</t>
  </si>
  <si>
    <t xml:space="preserve">Capital médio investido no lote </t>
  </si>
  <si>
    <t xml:space="preserve">Vacina autógena </t>
  </si>
  <si>
    <t xml:space="preserve">Autógena </t>
  </si>
  <si>
    <t>&gt; 0%</t>
  </si>
  <si>
    <t>&gt; R$ 1,00</t>
  </si>
  <si>
    <t xml:space="preserve">Professor Doutor Cesar Augusto Pospissil Garbossa </t>
  </si>
  <si>
    <t xml:space="preserve">Professor Doutor Augusto Hauber Gameiro </t>
  </si>
  <si>
    <t>Professora Doutora Camila Raineri</t>
  </si>
  <si>
    <t xml:space="preserve">Informações gerais </t>
  </si>
  <si>
    <t xml:space="preserve">O desenvolvimento deste modelo de cálculo de custos de produção de suínos é parte do projeto de dissetação de mestrado da acadêmica Laya Kannan Silva Alves, que esteve sob orientação do Prof. Dr. Cesar Augusto Pospissil Garbossa e do Prof. Dr. Augusto Hauber Gameiro, vinculados ao Programa de Pós-graduação do Departamento de Nutrição e Produção Animal, da Faculdade de Medicina Veterinária e Zootecnia, da Universidade de São Paulo. Bem como contou com o apoio da Profa. Dra. Camila Raineri, da Faculdade de Medicina Veterinária da Universidade Federal de Uberlândia. </t>
  </si>
  <si>
    <t xml:space="preserve">Estrutura do modelo </t>
  </si>
  <si>
    <t>Orientação e codesenvolvimento do modelo:</t>
  </si>
  <si>
    <t>Desenvolvedora:</t>
  </si>
  <si>
    <t>Laya Kannan Silva Alves</t>
  </si>
  <si>
    <t>O detalhamento, descrição e orientação para preenchimentos das planilhas encontram-se a seguir.</t>
  </si>
  <si>
    <t xml:space="preserve">OS DADOS DA PROPRIEDADE DEVEM SER INSERIDOS NAS CÉLULAS DE COR VINHO, CONFORME EXEMPLO: </t>
  </si>
  <si>
    <t>Preenchendo as planilhas</t>
  </si>
  <si>
    <t>Aba "Dados da propriedade"</t>
  </si>
  <si>
    <t xml:space="preserve">Nesta aba deverão ser inclusos os dados de identificação da propriedade a ser analisada, bem como do proprietário da granja. </t>
  </si>
  <si>
    <t>Aba "Caracterização do sistema"</t>
  </si>
  <si>
    <t>Aba "Plantel produtivo"</t>
  </si>
  <si>
    <t>Aba "Inventário físico"</t>
  </si>
  <si>
    <t>Aba "Insumos e serviços"</t>
  </si>
  <si>
    <t>Aba "Custo de produção por lotes"</t>
  </si>
  <si>
    <t>Aba "Resumo custos"</t>
  </si>
  <si>
    <t>Aba "Relatório econômico"</t>
  </si>
  <si>
    <t>Preço de venda do leitão desmamado</t>
  </si>
  <si>
    <t>Preço de venda do leitão descrechado</t>
  </si>
  <si>
    <t>Preço de venda do cevado</t>
  </si>
  <si>
    <t xml:space="preserve">Nesta aba deverão ser inclusos alguns dados gerais da granja, como: áreas (da propriedade, construída, de preservação permanente, etc); informações financeiras (taxas de juros consideradas, remuneração sobre o trabalho do proprietário, valor de arrendamento da terra na região onde a propriedade está inserida); preços de mercado/venda de suínos de todas as categorias (descarte, suíno desmamado, descrechado e cevado); taxas e impostos pagos anualmente e despesas mensais como energia elétrica, internet, telefonia, combustíveis e etc. </t>
  </si>
  <si>
    <t xml:space="preserve">Ressaltamos que para um bom funcionamento do modelo e resultados que condizem com a realidade, tais dados devem ser inseridos corretamente. </t>
  </si>
  <si>
    <t xml:space="preserve">Nesta aba, informações acerca do plantel produtivo, bem como dados zootécnicos do rebanho devem ser inseridos. </t>
  </si>
  <si>
    <t xml:space="preserve">Taxa de mortalidade crescimento e terminação </t>
  </si>
  <si>
    <t xml:space="preserve">Esta planilha foi desenvolvida para sistemas de produção independentes, em ciclo completo. No entanto, permite a análise de diversos sistemas de produção de suínos, sendo eles independentes, integrados, em ciclo completo, ou especializados, como Unidades Produtoras de Leitões ou Unidades de Crescimento e Terminação. </t>
  </si>
  <si>
    <t xml:space="preserve">MODELO DE CÁLCULO DE CUSTOS DE               PRODUÇÃO DE SUÍNOS </t>
  </si>
  <si>
    <t xml:space="preserve">Lucro ou prejuízo por lote semanal </t>
  </si>
  <si>
    <t>Ao inserir corretamente os dados de plantel e coeficientes zootécnicos, será realizado automaticamente o cálculo do fluxo de produção e dimensionamento das instalações. Este cálculo demonstra o espaço necessário para o tamanho da sua produção, e permite ao gestor fazer comparações, em relação à realidade da granja e aos valores indicados na literatura, permitindo então uma avaliação de super ou subutilização de espaço nas instalações da granja.</t>
  </si>
  <si>
    <t xml:space="preserve">O cálculo de depreciação será realizado de forma gerencial, por isso não contempla regras fiscais de depreciação de bens. </t>
  </si>
  <si>
    <t xml:space="preserve">Nesta aba deverão ser inclusos todos os itens de inventário da propriedade. Tais dados serão utilizados para o cálculo de depreciação dos bens. Grandes itens utilizados na produção de suínos foram descritos ao decorrer desta planilha, no entanto, tais dados podem ser alterados, para atender à realidade da propriedade. </t>
  </si>
  <si>
    <t xml:space="preserve">Para os itens inexistentes na propriedade, basta não realizar o preenchimento, dessa forma não serão considerados no cálculo do custo. </t>
  </si>
  <si>
    <t xml:space="preserve">Nesta aba deverão ser inseridos os dados referentes às quantidades de insumos e serviços utilizados no sistema. </t>
  </si>
  <si>
    <t>Os itens foram alocados por setor produtivo, sendo divididos nos setores: reposição, gestação, maternidade, creche, crescimento e terminação e geral.</t>
  </si>
  <si>
    <t xml:space="preserve">Sabe-se que a alimentação representa um dos maiores percentuais no custo total de produção, por isso, é importante inserir corretamente os dados de quantidade fornecida por cabeça e o período de fornecimento de cada dieta. </t>
  </si>
  <si>
    <t xml:space="preserve">Solicitamos também que seja informado o preço unitário de determinado insumo ou serviço, consumido no sistema produtivo. </t>
  </si>
  <si>
    <t xml:space="preserve">No item "Sanidade - vacinas" solicitamos que seja inserido o protocolo vacinal da propriedade, respeitando a fase produtiva em que o animal se enquadra. </t>
  </si>
  <si>
    <t xml:space="preserve">No item "Mão-de-obra" solicitamos que os valores dos respectivos salários sejam incluídos já com encargos sociais. </t>
  </si>
  <si>
    <t>O valor do arrendamento deve ser preenchido com a melhor alternativa de possível arrendamento para a região, como por exemplo: cana-de-açúcar. Tal valor é extremamente importante para que seja possível calcular o custo de oportunidade da terra utilizada pela suinocultura.</t>
  </si>
  <si>
    <t xml:space="preserve">É importante calcular a depreciação dos ativos para que não ocorra descapitalização. </t>
  </si>
  <si>
    <t>Esta planilha informa, detalhadamente, o custo de produção do cevado, na forma de montante semanal, com projeções mensais e anuais.</t>
  </si>
  <si>
    <t xml:space="preserve">Os custos de produção foram alocados em variáveis e fixos e o relatório é dado em custo total por cabeça e por quilogamas de cevado produzido. </t>
  </si>
  <si>
    <t xml:space="preserve">Alterações nas demais abas do modelo, como por exemplo, melhorias em coeficientes zootécnicos, redução de preços de insumos, aumento do número de reprodutores, mudanças no manejo, entre outros modificam os valores de custos de produção, permitindo aos gestores a realização de diversas simulações, para permear a tomada de decisão dentro da porteira. </t>
  </si>
  <si>
    <t xml:space="preserve">Esta planilha demonstra a participação dos mais variados itens de custo, no custo total. </t>
  </si>
  <si>
    <t xml:space="preserve">Por meio deste relatório é possível fazer uma análise crítica dos pontos de estrangulamento do sistema produtivo, para a tomada de decisão gerencial, buscando sempre o melhor desempenho técnico e econômico da atividade. </t>
  </si>
  <si>
    <t xml:space="preserve">Nesta planilha, encontram-se os resultados econômicos da atividade suinícola. No primeiro quadro, por meio das informações informadas previamente, têm-se o cálculo das receitas semanais da suinocultura, sendo demonstradas em receita semanal total, receita por cevado e receita por quilo de cevado produzido. </t>
  </si>
  <si>
    <t>Têm-se também o detalhamento dos custos de produção, onde pode-se observar a participação monetária dos custos operacionais, custos de reumuneraço do capital e custo total, em reais por kg de cevado produzido.</t>
  </si>
  <si>
    <t>No quadro lucro econômico da atividade, têm se o lucro da suinocultura em reais por período e por quilograma, descontando-se todos os itens de custo da atividade.</t>
  </si>
  <si>
    <t xml:space="preserve">O quadro renda total ao produtor leva em consideração não apenas o lucro econômico, como também a remuneração do capital investido na atividade. </t>
  </si>
  <si>
    <t xml:space="preserve">Os custos com a remuneração do capital são custos da atividade suinícola, no entanto, se os fatores de produção forem prórpios, são uma receita para o produtor, visto que este item inclui a remuneração do capital investido na atividade, imobilizado ou não. </t>
  </si>
  <si>
    <t xml:space="preserve">O quadro indicadores econômicos traz alguns dos principais indicadores de eficiência econômica e rentabilidade do sistema produtivo. </t>
  </si>
  <si>
    <t xml:space="preserve">A margem bruta desconta os custos variáveis das receitas. Já a margem liquida, leva em consideração também os custos fixos. Ambas demonstram a disponibilidade de caixa do sistema produtivo. </t>
  </si>
  <si>
    <t xml:space="preserve">O ponto de equilíbrio demonstra a quantidade miníma a ser produzida dentro do sistema, para que a receita se iguale ao lucro, não ocorrendo então prejuízo econômico. </t>
  </si>
  <si>
    <t xml:space="preserve">Já a Produtividade Total dos Fatores demonstra, em unidade monetária, quanto a atividade recebe para cada unidade despendida. </t>
  </si>
  <si>
    <t>O ROI, um dos indicadores econômicos mais conhecidos, demonstrado aqui em porcentagem, nos indica quanto de retorno pelo capital investido a atividade está proporcionando.</t>
  </si>
  <si>
    <t>Quaisquer dúvidas no preenchimento do modelo ou interpretação de resultados, não hesite em nos consultar!</t>
  </si>
  <si>
    <t xml:space="preserve">Bastão marcador </t>
  </si>
  <si>
    <t xml:space="preserve">Taxa de juros utilizada sobre o capital de giro </t>
  </si>
  <si>
    <t xml:space="preserve">Taxa de juros utilizada sobre o capital imobilizado </t>
  </si>
  <si>
    <t>% ao ano</t>
  </si>
  <si>
    <t>D - CUSTO DE REMUNERAÇÃO DO CAPITAL E DA TERRA</t>
  </si>
  <si>
    <t>CUSTO DE REMUNERAÇÃO DO CAPITAL E DA TERRA</t>
  </si>
  <si>
    <t>Custos variáveis</t>
  </si>
  <si>
    <t>Custos fixos exceto remuneração do capital e da terra</t>
  </si>
  <si>
    <t>Custo de oportunidade do capital e da terra</t>
  </si>
  <si>
    <t>VIII - CUSTO DE OPORTUNIDADE DO CAPITAL E DA TERRA</t>
  </si>
  <si>
    <t xml:space="preserve">Custo total </t>
  </si>
  <si>
    <t>R$/hectare/ano</t>
  </si>
  <si>
    <t>Outras taxas variáveis</t>
  </si>
  <si>
    <t xml:space="preserve">Preço da matriz de reposição </t>
  </si>
  <si>
    <t>R$/fêmea</t>
  </si>
  <si>
    <t xml:space="preserve">R$/cachaço </t>
  </si>
  <si>
    <t>Preço do reprodutor</t>
  </si>
  <si>
    <t xml:space="preserve">Assessor externo </t>
  </si>
  <si>
    <t>Outras taxas fixas</t>
  </si>
  <si>
    <t xml:space="preserve">Custo de oportunidade do capital e da terra </t>
  </si>
  <si>
    <t xml:space="preserve">Lucro semanal (R$/semana) </t>
  </si>
  <si>
    <t>R$/lote</t>
  </si>
  <si>
    <t>4.</t>
  </si>
  <si>
    <t>Dose de sêmen para marrãs</t>
  </si>
  <si>
    <t>Dose de sêmen para porcas</t>
  </si>
  <si>
    <t>R$/animal</t>
  </si>
  <si>
    <t>Percentual do valor do bem</t>
  </si>
  <si>
    <t xml:space="preserve">Os itens de custo foram alocados em: (A) Custos variáveis; (B) Custos fixos; (C) Custos Operacionais; (D) Custo de remuneração do capital e da terra; (E) Custo total. </t>
  </si>
  <si>
    <t xml:space="preserve">Onde: </t>
  </si>
  <si>
    <t>(A) Nos custos variáveis são agrupados todos os componentes que somente ocorrem ou incidem se houver produção, e que são diretamente relacionados à quantidade de animais produzidos.</t>
  </si>
  <si>
    <t>(B) Nos custos fixos enquadram-se os elementos de despesas que são suportados pelo produtor, independentemente do volume de produção, tais como mão de obra e depreciação.</t>
  </si>
  <si>
    <t xml:space="preserve">(C) Nos custos operacionais têm-se a somatória de todos os itens de custos variáveis e a parcela dos custos fixos diretamente associada à implementação da criação. Difere do custo total apenas por não contemplar a remuneração do capital e da terra, que são consideradas no item (D). </t>
  </si>
  <si>
    <t xml:space="preserve">(D) Nos custos de remuneração do capital e da terra são considerados os custos de oportunidade da remuneração esperada sobre o capital investido na atividade. </t>
  </si>
  <si>
    <t>(E) O Custo Total engloba todos os itens de custo utilizados na atividade, bem como as remunerações do capital.</t>
  </si>
  <si>
    <t>MoscaZum</t>
  </si>
  <si>
    <t xml:space="preserve">Controle de roedores </t>
  </si>
  <si>
    <t xml:space="preserve">Saco de lixo </t>
  </si>
  <si>
    <t xml:space="preserve">Pás </t>
  </si>
  <si>
    <t>Vancid</t>
  </si>
  <si>
    <t xml:space="preserve">Desinfetante convencional </t>
  </si>
  <si>
    <t>Sabonete</t>
  </si>
  <si>
    <t xml:space="preserve">Vassouras </t>
  </si>
  <si>
    <t xml:space="preserve">Rodos </t>
  </si>
  <si>
    <t xml:space="preserve">Termômetro </t>
  </si>
  <si>
    <t>Balde</t>
  </si>
  <si>
    <t xml:space="preserve">Renda total por lote semanal </t>
  </si>
  <si>
    <t>RESUMO CUSTOS</t>
  </si>
  <si>
    <t>Custo operacional (custos variáveis + custos fixos operacionais)</t>
  </si>
  <si>
    <t xml:space="preserve">Cocho </t>
  </si>
  <si>
    <t>Alíquota estadual ICMS p/ agrícolas</t>
  </si>
  <si>
    <t xml:space="preserve">Índices reprodutivos </t>
  </si>
  <si>
    <t xml:space="preserve">Índices de crescimento </t>
  </si>
  <si>
    <t>Índices de produtividade</t>
  </si>
  <si>
    <t>Índices de mortalidade</t>
  </si>
  <si>
    <t xml:space="preserve">Lepecid </t>
  </si>
  <si>
    <t>Luvas de procedimento (caixa c/ 100)</t>
  </si>
  <si>
    <t>Luva nitrílica (caixa c/ 100)</t>
  </si>
  <si>
    <t>Luva de toque (caixa c/ 100)</t>
  </si>
  <si>
    <t>Agulha inox 20x10</t>
  </si>
  <si>
    <t xml:space="preserve">Agulha inox 20x10 </t>
  </si>
  <si>
    <t>Seringa 10 ml (caixa c/ 500)</t>
  </si>
  <si>
    <t>Descarte perfurocortante</t>
  </si>
  <si>
    <t xml:space="preserve">Inicial II (47-65d) </t>
  </si>
  <si>
    <t>Crescimento I (66d-90d)</t>
  </si>
  <si>
    <t>Acabamento (126 - 160d)</t>
  </si>
  <si>
    <t>Cela + escamoteador</t>
  </si>
  <si>
    <t>Strada</t>
  </si>
  <si>
    <t>Flumax</t>
  </si>
  <si>
    <t>Draxxin</t>
  </si>
  <si>
    <t>Maxicam</t>
  </si>
  <si>
    <t xml:space="preserve">Maxicam </t>
  </si>
  <si>
    <t>Iodo</t>
  </si>
  <si>
    <t>Vetrimoxim</t>
  </si>
  <si>
    <t xml:space="preserve">Fortgal </t>
  </si>
  <si>
    <t>Dexacort</t>
  </si>
  <si>
    <t>Draxim</t>
  </si>
  <si>
    <t>Terracam</t>
  </si>
  <si>
    <t>Diarista mater. (fim de semana)</t>
  </si>
  <si>
    <t xml:space="preserve">litro </t>
  </si>
  <si>
    <t>xEquipamento 2</t>
  </si>
  <si>
    <t>Agulhas 40x12 (unidade)</t>
  </si>
  <si>
    <t>Seringa 10ml (unidade)</t>
  </si>
  <si>
    <t>Unidades por mês</t>
  </si>
  <si>
    <t>Agulha 40x12 (unidades)</t>
  </si>
  <si>
    <t>Agulhas 30x08 (unidade)</t>
  </si>
  <si>
    <t>Seringa 3 ml</t>
  </si>
  <si>
    <t>Seringa 3 ml (unidade)</t>
  </si>
  <si>
    <t>Seringa 10 ml (unidades)</t>
  </si>
  <si>
    <t>Unidads por mês</t>
  </si>
  <si>
    <t>Unidads/mês</t>
  </si>
  <si>
    <t>R$ por kg</t>
  </si>
  <si>
    <t>Custo total por cevado (@)</t>
  </si>
  <si>
    <t>Zoo. Laya Kannan Silva Alves</t>
  </si>
  <si>
    <t>Prof. Dr. Cesar Augusto Pospissil Garbossa</t>
  </si>
  <si>
    <t>Prof. Dr. Augusto Hauber Gameiro</t>
  </si>
  <si>
    <t>Profa. Dra. Camila Raineri</t>
  </si>
  <si>
    <t>?</t>
  </si>
  <si>
    <t>DNP das fêmeas em dias</t>
  </si>
  <si>
    <t xml:space="preserve">DNP das fêmeas por ciclo produtivo </t>
  </si>
  <si>
    <r>
      <rPr>
        <b/>
        <sz val="40"/>
        <color theme="0"/>
        <rFont val="Times New Roman"/>
        <family val="1"/>
      </rPr>
      <t xml:space="preserve">Descrição </t>
    </r>
    <r>
      <rPr>
        <b/>
        <sz val="40"/>
        <color theme="1"/>
        <rFont val="Times New Roman"/>
        <family val="1"/>
      </rPr>
      <t>i</t>
    </r>
  </si>
  <si>
    <t>(Lucro da atividade + remuneração sobre o capital e terra + pró-labore)</t>
  </si>
  <si>
    <t>Deve ser menor ou igual a quantidade de cevados produzida no lote</t>
  </si>
  <si>
    <t xml:space="preserve">Ponto de nivelamento (nº de cevados por semana) </t>
  </si>
  <si>
    <t>Este modelo matemático foi construído no formato de planilha eletrônica, utilizando o software Microsoft Excel®. Por ser um software conhecido e passível de utilização na maioria das máquinas disponíveis, foi adotado como o hospedeiro do modelo matemático.</t>
  </si>
  <si>
    <t xml:space="preserve">Após preenchimento da célula basta apertar a tecla TAB e você será redirecionado para a próxima célula a ser preenchida. </t>
  </si>
  <si>
    <t xml:space="preserve">Rebanho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</si>
</sst>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R$&quot;\ * #,##0.00_-;\-&quot;R$&quot;\ * #,##0.00_-;_-&quot;R$&quot;\ * &quot;-&quot;??_-;_-@_-"/>
    <numFmt numFmtId="43" formatCode="_-* #,##0.00_-;\-* #,##0.00_-;_-* &quot;-&quot;??_-;_-@_-"/>
    <numFmt numFmtId="164" formatCode="0.000"/>
    <numFmt numFmtId="165" formatCode="0.0"/>
    <numFmt numFmtId="166" formatCode="0.0%"/>
    <numFmt numFmtId="167" formatCode="#,##0.0_ ;\-#,##0.0\ "/>
    <numFmt numFmtId="168" formatCode="_-&quot;R$&quot;\ * #,##0.000_-;\-&quot;R$&quot;\ * #,##0.000_-;_-&quot;R$&quot;\ * &quot;-&quot;??_-;_-@_-"/>
  </numFmts>
  <fonts count="76" x14ac:knownFonts="1">
    <font>
      <sz val="11"/>
      <color theme="1"/>
      <name val="Calibri"/>
      <family val="2"/>
      <scheme val="minor"/>
    </font>
    <font>
      <sz val="11"/>
      <color theme="1"/>
      <name val="Calibri"/>
      <family val="2"/>
      <scheme val="minor"/>
    </font>
    <font>
      <sz val="11"/>
      <color theme="0"/>
      <name val="Calibri"/>
      <family val="2"/>
      <scheme val="minor"/>
    </font>
    <font>
      <u/>
      <sz val="11"/>
      <color theme="10"/>
      <name val="Calibri"/>
      <family val="2"/>
      <scheme val="minor"/>
    </font>
    <font>
      <b/>
      <sz val="25"/>
      <color theme="0"/>
      <name val="Times New Roman"/>
      <family val="1"/>
    </font>
    <font>
      <b/>
      <sz val="30"/>
      <color theme="0"/>
      <name val="Times New Roman"/>
      <family val="1"/>
    </font>
    <font>
      <sz val="25"/>
      <name val="Times New Roman"/>
      <family val="1"/>
    </font>
    <font>
      <sz val="8"/>
      <name val="Calibri"/>
      <family val="2"/>
      <scheme val="minor"/>
    </font>
    <font>
      <sz val="9"/>
      <color indexed="81"/>
      <name val="Segoe UI"/>
      <family val="2"/>
    </font>
    <font>
      <b/>
      <sz val="9"/>
      <color indexed="81"/>
      <name val="Segoe UI"/>
      <family val="2"/>
    </font>
    <font>
      <b/>
      <sz val="8"/>
      <color theme="1"/>
      <name val="Times New Roman"/>
      <family val="1"/>
    </font>
    <font>
      <b/>
      <sz val="25"/>
      <color theme="1"/>
      <name val="Times New Roman"/>
      <family val="1"/>
    </font>
    <font>
      <sz val="25"/>
      <color theme="0"/>
      <name val="Times New Roman"/>
      <family val="1"/>
    </font>
    <font>
      <sz val="25"/>
      <color theme="1"/>
      <name val="Times New Roman"/>
      <family val="1"/>
    </font>
    <font>
      <b/>
      <sz val="18"/>
      <color theme="0"/>
      <name val="Times New Roman"/>
      <family val="1"/>
    </font>
    <font>
      <b/>
      <sz val="30"/>
      <name val="Times New Roman"/>
      <family val="1"/>
    </font>
    <font>
      <b/>
      <sz val="25"/>
      <name val="Times New Roman"/>
      <family val="1"/>
    </font>
    <font>
      <sz val="18"/>
      <name val="Times New Roman"/>
      <family val="1"/>
    </font>
    <font>
      <sz val="18"/>
      <color theme="0"/>
      <name val="Times New Roman"/>
      <family val="1"/>
    </font>
    <font>
      <sz val="18"/>
      <color theme="1"/>
      <name val="Times New Roman"/>
      <family val="1"/>
    </font>
    <font>
      <b/>
      <sz val="18"/>
      <name val="Times New Roman"/>
      <family val="1"/>
    </font>
    <font>
      <b/>
      <sz val="18"/>
      <color theme="1"/>
      <name val="Times New Roman"/>
      <family val="1"/>
    </font>
    <font>
      <b/>
      <u/>
      <sz val="18"/>
      <color theme="1"/>
      <name val="Times New Roman"/>
      <family val="1"/>
    </font>
    <font>
      <b/>
      <u/>
      <sz val="25"/>
      <color theme="1"/>
      <name val="Times New Roman"/>
      <family val="1"/>
    </font>
    <font>
      <u/>
      <sz val="25"/>
      <color theme="1"/>
      <name val="Times New Roman"/>
      <family val="1"/>
    </font>
    <font>
      <b/>
      <i/>
      <sz val="25"/>
      <color theme="1"/>
      <name val="Times New Roman"/>
      <family val="1"/>
    </font>
    <font>
      <b/>
      <i/>
      <sz val="25"/>
      <color theme="1" tint="0.14999847407452621"/>
      <name val="Times New Roman"/>
      <family val="1"/>
    </font>
    <font>
      <i/>
      <sz val="25"/>
      <color theme="1"/>
      <name val="Times New Roman"/>
      <family val="1"/>
    </font>
    <font>
      <b/>
      <i/>
      <u/>
      <sz val="25"/>
      <color theme="1"/>
      <name val="Times New Roman"/>
      <family val="1"/>
    </font>
    <font>
      <b/>
      <sz val="30"/>
      <color theme="1"/>
      <name val="Times New Roman"/>
      <family val="1"/>
    </font>
    <font>
      <i/>
      <sz val="18"/>
      <name val="Times New Roman"/>
      <family val="1"/>
    </font>
    <font>
      <b/>
      <i/>
      <sz val="18"/>
      <color theme="1"/>
      <name val="Times New Roman"/>
      <family val="1"/>
    </font>
    <font>
      <sz val="30"/>
      <color theme="1"/>
      <name val="Times New Roman"/>
      <family val="1"/>
    </font>
    <font>
      <b/>
      <i/>
      <sz val="25"/>
      <name val="Times New Roman"/>
      <family val="1"/>
    </font>
    <font>
      <b/>
      <sz val="28"/>
      <color theme="1"/>
      <name val="Times New Roman"/>
      <family val="1"/>
    </font>
    <font>
      <b/>
      <i/>
      <sz val="28"/>
      <color theme="1" tint="0.14999847407452621"/>
      <name val="Times New Roman"/>
      <family val="1"/>
    </font>
    <font>
      <sz val="28"/>
      <color theme="1"/>
      <name val="Times New Roman"/>
      <family val="1"/>
    </font>
    <font>
      <b/>
      <u/>
      <sz val="30"/>
      <color theme="1"/>
      <name val="Times New Roman"/>
      <family val="1"/>
    </font>
    <font>
      <u/>
      <sz val="30"/>
      <color theme="1"/>
      <name val="Times New Roman"/>
      <family val="1"/>
    </font>
    <font>
      <b/>
      <u/>
      <sz val="28"/>
      <color theme="1"/>
      <name val="Times New Roman"/>
      <family val="1"/>
    </font>
    <font>
      <b/>
      <u val="singleAccounting"/>
      <sz val="30"/>
      <color theme="0"/>
      <name val="Times New Roman"/>
      <family val="1"/>
    </font>
    <font>
      <u val="singleAccounting"/>
      <sz val="25"/>
      <color theme="1"/>
      <name val="Times New Roman"/>
      <family val="1"/>
    </font>
    <font>
      <sz val="20"/>
      <color theme="1"/>
      <name val="Times New Roman"/>
      <family val="1"/>
    </font>
    <font>
      <b/>
      <i/>
      <sz val="25"/>
      <color theme="0"/>
      <name val="Times New Roman"/>
      <family val="1"/>
    </font>
    <font>
      <sz val="20"/>
      <color indexed="81"/>
      <name val="Segoe UI"/>
      <family val="2"/>
    </font>
    <font>
      <b/>
      <i/>
      <sz val="30"/>
      <color theme="1"/>
      <name val="Times New Roman"/>
      <family val="1"/>
    </font>
    <font>
      <b/>
      <sz val="12"/>
      <color indexed="81"/>
      <name val="Segoe UI"/>
      <family val="2"/>
    </font>
    <font>
      <sz val="15"/>
      <color theme="1"/>
      <name val="Times New Roman"/>
      <family val="1"/>
    </font>
    <font>
      <sz val="15"/>
      <name val="Times New Roman"/>
      <family val="1"/>
    </font>
    <font>
      <b/>
      <u/>
      <sz val="25"/>
      <name val="Times New Roman"/>
      <family val="1"/>
    </font>
    <font>
      <b/>
      <i/>
      <u/>
      <sz val="25"/>
      <name val="Times New Roman"/>
      <family val="1"/>
    </font>
    <font>
      <sz val="30"/>
      <name val="Times New Roman"/>
      <family val="1"/>
    </font>
    <font>
      <sz val="25"/>
      <color indexed="81"/>
      <name val="Segoe UI"/>
      <family val="2"/>
    </font>
    <font>
      <i/>
      <sz val="18"/>
      <color theme="1"/>
      <name val="Times New Roman"/>
      <family val="1"/>
    </font>
    <font>
      <b/>
      <sz val="25"/>
      <color rgb="FFECD4D6"/>
      <name val="Times New Roman"/>
      <family val="1"/>
    </font>
    <font>
      <b/>
      <sz val="30"/>
      <color rgb="FFECD4D6"/>
      <name val="Times New Roman"/>
      <family val="1"/>
    </font>
    <font>
      <b/>
      <u val="singleAccounting"/>
      <sz val="30"/>
      <color theme="1"/>
      <name val="Times New Roman"/>
      <family val="1"/>
    </font>
    <font>
      <sz val="24"/>
      <color indexed="81"/>
      <name val="Segoe UI"/>
      <family val="2"/>
    </font>
    <font>
      <b/>
      <sz val="40"/>
      <color theme="1"/>
      <name val="Times New Roman"/>
      <family val="1"/>
    </font>
    <font>
      <b/>
      <sz val="20"/>
      <color theme="0"/>
      <name val="Times New Roman"/>
      <family val="1"/>
    </font>
    <font>
      <b/>
      <sz val="35"/>
      <color theme="0"/>
      <name val="Times New Roman"/>
      <family val="1"/>
    </font>
    <font>
      <b/>
      <u val="singleAccounting"/>
      <sz val="35"/>
      <color theme="0"/>
      <name val="Times New Roman"/>
      <family val="1"/>
    </font>
    <font>
      <sz val="25"/>
      <color theme="1"/>
      <name val="Times New Roman"/>
    </font>
    <font>
      <sz val="11"/>
      <name val="Arial"/>
    </font>
    <font>
      <b/>
      <sz val="25"/>
      <color theme="0"/>
      <name val="Times New Roman"/>
    </font>
    <font>
      <sz val="25"/>
      <color theme="0"/>
      <name val="Times New Roman"/>
    </font>
    <font>
      <b/>
      <sz val="11"/>
      <color theme="1"/>
      <name val="Calibri"/>
      <family val="2"/>
      <scheme val="minor"/>
    </font>
    <font>
      <b/>
      <sz val="20"/>
      <color theme="1"/>
      <name val="Times New Roman"/>
      <family val="1"/>
    </font>
    <font>
      <b/>
      <sz val="40"/>
      <color indexed="81"/>
      <name val="Segoe UI"/>
      <family val="2"/>
    </font>
    <font>
      <b/>
      <sz val="50"/>
      <color indexed="81"/>
      <name val="Segoe UI"/>
      <family val="2"/>
    </font>
    <font>
      <b/>
      <sz val="40"/>
      <color theme="0"/>
      <name val="Times New Roman"/>
      <family val="1"/>
    </font>
    <font>
      <b/>
      <i/>
      <sz val="40"/>
      <color theme="1"/>
      <name val="Times New Roman"/>
      <family val="1"/>
    </font>
    <font>
      <i/>
      <sz val="40"/>
      <color theme="1"/>
      <name val="Times New Roman"/>
      <family val="1"/>
    </font>
    <font>
      <b/>
      <u/>
      <sz val="30"/>
      <name val="Times New Roman"/>
      <family val="1"/>
    </font>
    <font>
      <sz val="50"/>
      <color theme="1"/>
      <name val="Times New Roman"/>
      <family val="1"/>
    </font>
    <font>
      <sz val="50"/>
      <color indexed="81"/>
      <name val="Segoe UI"/>
      <family val="2"/>
    </font>
  </fonts>
  <fills count="28">
    <fill>
      <patternFill patternType="none"/>
    </fill>
    <fill>
      <patternFill patternType="gray125"/>
    </fill>
    <fill>
      <patternFill patternType="solid">
        <fgColor theme="9"/>
      </patternFill>
    </fill>
    <fill>
      <patternFill patternType="solid">
        <fgColor theme="1"/>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theme="2"/>
        <bgColor indexed="64"/>
      </patternFill>
    </fill>
    <fill>
      <patternFill patternType="solid">
        <fgColor theme="1" tint="0.499984740745262"/>
        <bgColor indexed="64"/>
      </patternFill>
    </fill>
    <fill>
      <patternFill patternType="solid">
        <fgColor rgb="FF000000"/>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rgb="FFEBAF8F"/>
        <bgColor indexed="64"/>
      </patternFill>
    </fill>
    <fill>
      <patternFill patternType="solid">
        <fgColor rgb="FFEE834A"/>
        <bgColor indexed="64"/>
      </patternFill>
    </fill>
    <fill>
      <patternFill patternType="solid">
        <fgColor rgb="FFB88970"/>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rgb="FF642E33"/>
        <bgColor indexed="64"/>
      </patternFill>
    </fill>
    <fill>
      <patternFill patternType="solid">
        <fgColor rgb="FFFAC2CF"/>
        <bgColor indexed="64"/>
      </patternFill>
    </fill>
    <fill>
      <patternFill patternType="solid">
        <fgColor rgb="FFFFCFB5"/>
        <bgColor indexed="64"/>
      </patternFill>
    </fill>
    <fill>
      <patternFill patternType="solid">
        <fgColor theme="1" tint="0.249977111117893"/>
        <bgColor indexed="64"/>
      </patternFill>
    </fill>
    <fill>
      <patternFill patternType="solid">
        <fgColor rgb="FFC17988"/>
        <bgColor indexed="64"/>
      </patternFill>
    </fill>
    <fill>
      <patternFill patternType="solid">
        <fgColor rgb="FFECD4D6"/>
        <bgColor indexed="64"/>
      </patternFill>
    </fill>
    <fill>
      <patternFill patternType="solid">
        <fgColor theme="0"/>
        <bgColor theme="0"/>
      </patternFill>
    </fill>
    <fill>
      <patternFill patternType="solid">
        <fgColor rgb="FF642E33"/>
        <bgColor rgb="FF642E33"/>
      </patternFill>
    </fill>
    <fill>
      <patternFill patternType="solid">
        <fgColor theme="2" tint="-0.249977111117893"/>
        <bgColor indexed="64"/>
      </patternFill>
    </fill>
    <fill>
      <patternFill patternType="solid">
        <fgColor rgb="FFFFFF00"/>
        <bgColor indexed="64"/>
      </patternFill>
    </fill>
  </fills>
  <borders count="48">
    <border>
      <left/>
      <right/>
      <top/>
      <bottom/>
      <diagonal/>
    </border>
    <border>
      <left style="medium">
        <color indexed="64"/>
      </left>
      <right/>
      <top style="medium">
        <color indexed="64"/>
      </top>
      <bottom/>
      <diagonal/>
    </border>
    <border>
      <left/>
      <right/>
      <top style="medium">
        <color indexed="64"/>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indexed="64"/>
      </left>
      <right/>
      <top/>
      <bottom style="medium">
        <color indexed="64"/>
      </bottom>
      <diagonal/>
    </border>
    <border>
      <left/>
      <right/>
      <top/>
      <bottom style="medium">
        <color auto="1"/>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auto="1"/>
      </left>
      <right style="medium">
        <color indexed="64"/>
      </right>
      <top/>
      <bottom/>
      <diagonal/>
    </border>
    <border>
      <left style="thin">
        <color indexed="64"/>
      </left>
      <right style="medium">
        <color auto="1"/>
      </right>
      <top/>
      <bottom/>
      <diagonal/>
    </border>
    <border>
      <left style="medium">
        <color indexed="64"/>
      </left>
      <right style="thin">
        <color indexed="64"/>
      </right>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000000"/>
      </left>
      <right/>
      <top style="medium">
        <color rgb="FF000000"/>
      </top>
      <bottom/>
      <diagonal/>
    </border>
    <border>
      <left/>
      <right/>
      <top style="medium">
        <color rgb="FF000000"/>
      </top>
      <bottom/>
      <diagonal/>
    </border>
    <border>
      <left style="thin">
        <color rgb="FF000000"/>
      </left>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style="thin">
        <color rgb="FF000000"/>
      </top>
      <bottom/>
      <diagonal/>
    </border>
    <border>
      <left/>
      <right style="thin">
        <color rgb="FF000000"/>
      </right>
      <top/>
      <bottom/>
      <diagonal/>
    </border>
    <border>
      <left/>
      <right style="thin">
        <color rgb="FF000000"/>
      </right>
      <top/>
      <bottom style="thin">
        <color rgb="FF000000"/>
      </bottom>
      <diagonal/>
    </border>
    <border>
      <left/>
      <right/>
      <top style="thin">
        <color rgb="FF000000"/>
      </top>
      <bottom/>
      <diagonal/>
    </border>
  </borders>
  <cellStyleXfs count="7">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0" fontId="1" fillId="7" borderId="0"/>
    <xf numFmtId="0" fontId="3" fillId="0" borderId="0" applyNumberFormat="0" applyFill="0" applyBorder="0" applyAlignment="0" applyProtection="0"/>
  </cellStyleXfs>
  <cellXfs count="1195">
    <xf numFmtId="0" fontId="0" fillId="0" borderId="0" xfId="0"/>
    <xf numFmtId="0" fontId="13" fillId="5" borderId="0" xfId="0" applyFont="1" applyFill="1" applyAlignment="1">
      <alignment vertical="center" wrapText="1"/>
    </xf>
    <xf numFmtId="0" fontId="4" fillId="3" borderId="0" xfId="0" applyFont="1" applyFill="1" applyBorder="1" applyAlignment="1">
      <alignment horizontal="center" vertical="center" wrapText="1"/>
    </xf>
    <xf numFmtId="0" fontId="4" fillId="3" borderId="12" xfId="0" applyFont="1" applyFill="1" applyBorder="1" applyAlignment="1">
      <alignment vertical="center" wrapText="1"/>
    </xf>
    <xf numFmtId="0" fontId="4" fillId="5" borderId="0" xfId="0" applyFont="1" applyFill="1" applyBorder="1" applyAlignment="1">
      <alignment vertical="center" wrapText="1"/>
    </xf>
    <xf numFmtId="0" fontId="13" fillId="5" borderId="0" xfId="0" applyFont="1" applyFill="1" applyBorder="1" applyAlignment="1">
      <alignment vertical="center" wrapText="1"/>
    </xf>
    <xf numFmtId="44" fontId="11" fillId="13" borderId="0" xfId="2" applyFont="1" applyFill="1" applyBorder="1" applyAlignment="1">
      <alignment horizontal="center" vertical="center" wrapText="1"/>
    </xf>
    <xf numFmtId="44" fontId="11" fillId="14" borderId="0" xfId="2" applyFont="1" applyFill="1" applyBorder="1" applyAlignment="1">
      <alignment horizontal="center" vertical="center" wrapText="1"/>
    </xf>
    <xf numFmtId="44" fontId="11" fillId="15" borderId="0" xfId="2" applyFont="1" applyFill="1" applyBorder="1" applyAlignment="1">
      <alignment horizontal="center" vertical="center" wrapText="1"/>
    </xf>
    <xf numFmtId="0" fontId="13" fillId="5" borderId="0" xfId="0" applyFont="1" applyFill="1" applyBorder="1" applyAlignment="1">
      <alignment horizontal="center" vertical="center" wrapText="1"/>
    </xf>
    <xf numFmtId="0" fontId="13" fillId="12" borderId="0" xfId="0" applyFont="1" applyFill="1" applyBorder="1" applyAlignment="1">
      <alignment vertical="center" wrapText="1"/>
    </xf>
    <xf numFmtId="0" fontId="13" fillId="12" borderId="0" xfId="0" applyFont="1" applyFill="1" applyBorder="1" applyAlignment="1">
      <alignment horizontal="center" vertical="center" wrapText="1"/>
    </xf>
    <xf numFmtId="0" fontId="4" fillId="3" borderId="17" xfId="0" applyFont="1" applyFill="1" applyBorder="1" applyAlignment="1">
      <alignment vertical="center" wrapText="1"/>
    </xf>
    <xf numFmtId="0" fontId="4" fillId="3" borderId="19" xfId="0" applyFont="1" applyFill="1" applyBorder="1" applyAlignment="1">
      <alignment horizontal="center" vertical="center" wrapText="1"/>
    </xf>
    <xf numFmtId="0" fontId="10" fillId="5" borderId="0" xfId="0" applyFont="1" applyFill="1" applyBorder="1" applyAlignment="1">
      <alignment vertical="center" textRotation="255" wrapText="1"/>
    </xf>
    <xf numFmtId="0" fontId="19" fillId="5" borderId="0" xfId="0" applyFont="1" applyFill="1"/>
    <xf numFmtId="0" fontId="17" fillId="5" borderId="0" xfId="5" applyFont="1" applyFill="1"/>
    <xf numFmtId="0" fontId="20" fillId="5" borderId="4" xfId="4" applyFont="1" applyFill="1" applyBorder="1"/>
    <xf numFmtId="0" fontId="20" fillId="5" borderId="0" xfId="4" applyFont="1" applyFill="1" applyBorder="1"/>
    <xf numFmtId="0" fontId="20" fillId="5" borderId="5" xfId="4" applyFont="1" applyFill="1" applyBorder="1"/>
    <xf numFmtId="0" fontId="20" fillId="5" borderId="4" xfId="4" applyFont="1" applyFill="1" applyBorder="1" applyAlignment="1">
      <alignment horizontal="left" vertical="center"/>
    </xf>
    <xf numFmtId="0" fontId="20" fillId="5" borderId="4" xfId="4" applyFont="1" applyFill="1" applyBorder="1" applyAlignment="1">
      <alignment horizontal="left"/>
    </xf>
    <xf numFmtId="0" fontId="20" fillId="5" borderId="6" xfId="4" applyFont="1" applyFill="1" applyBorder="1" applyAlignment="1">
      <alignment horizontal="left"/>
    </xf>
    <xf numFmtId="0" fontId="20" fillId="5" borderId="7" xfId="4" applyFont="1" applyFill="1" applyBorder="1" applyAlignment="1"/>
    <xf numFmtId="0" fontId="20" fillId="5" borderId="8" xfId="4" applyFont="1" applyFill="1" applyBorder="1"/>
    <xf numFmtId="0" fontId="19" fillId="5" borderId="0" xfId="0" applyFont="1" applyFill="1" applyBorder="1"/>
    <xf numFmtId="165" fontId="21" fillId="5" borderId="0" xfId="1" applyNumberFormat="1" applyFont="1" applyFill="1" applyBorder="1"/>
    <xf numFmtId="0" fontId="19" fillId="5" borderId="4" xfId="0" applyFont="1" applyFill="1" applyBorder="1"/>
    <xf numFmtId="0" fontId="19" fillId="5" borderId="5" xfId="0" applyFont="1" applyFill="1" applyBorder="1"/>
    <xf numFmtId="0" fontId="19" fillId="5" borderId="5" xfId="0" applyFont="1" applyFill="1" applyBorder="1" applyAlignment="1">
      <alignment vertical="center"/>
    </xf>
    <xf numFmtId="0" fontId="19" fillId="5" borderId="7" xfId="0" applyFont="1" applyFill="1" applyBorder="1" applyAlignment="1">
      <alignment horizontal="left"/>
    </xf>
    <xf numFmtId="44" fontId="21" fillId="5" borderId="0" xfId="2" applyFont="1" applyFill="1" applyBorder="1" applyAlignment="1">
      <alignment horizontal="center"/>
    </xf>
    <xf numFmtId="0" fontId="18" fillId="5" borderId="5" xfId="0" applyFont="1" applyFill="1" applyBorder="1"/>
    <xf numFmtId="0" fontId="18" fillId="5" borderId="0" xfId="0" applyFont="1" applyFill="1" applyBorder="1"/>
    <xf numFmtId="0" fontId="19" fillId="5" borderId="5" xfId="0" applyFont="1" applyFill="1" applyBorder="1" applyAlignment="1">
      <alignment wrapText="1"/>
    </xf>
    <xf numFmtId="0" fontId="19" fillId="5" borderId="0" xfId="0" applyFont="1" applyFill="1" applyBorder="1" applyAlignment="1">
      <alignment wrapText="1"/>
    </xf>
    <xf numFmtId="165" fontId="19" fillId="6" borderId="10" xfId="1" applyNumberFormat="1" applyFont="1" applyFill="1" applyBorder="1" applyAlignment="1">
      <alignment vertical="center"/>
    </xf>
    <xf numFmtId="0" fontId="19" fillId="5" borderId="27" xfId="0" applyFont="1" applyFill="1" applyBorder="1"/>
    <xf numFmtId="44" fontId="21" fillId="5" borderId="0" xfId="2" applyFont="1" applyFill="1" applyBorder="1" applyAlignment="1"/>
    <xf numFmtId="0" fontId="19" fillId="5" borderId="12" xfId="0" applyFont="1" applyFill="1" applyBorder="1"/>
    <xf numFmtId="0" fontId="19" fillId="5" borderId="14" xfId="0" applyFont="1" applyFill="1" applyBorder="1"/>
    <xf numFmtId="0" fontId="19" fillId="5" borderId="15" xfId="0" applyFont="1" applyFill="1" applyBorder="1"/>
    <xf numFmtId="165" fontId="19" fillId="6" borderId="10" xfId="1" applyNumberFormat="1" applyFont="1" applyFill="1" applyBorder="1" applyAlignment="1">
      <alignment vertical="center" wrapText="1"/>
    </xf>
    <xf numFmtId="0" fontId="19" fillId="5" borderId="29" xfId="0" applyFont="1" applyFill="1" applyBorder="1"/>
    <xf numFmtId="0" fontId="19" fillId="5" borderId="28" xfId="0" applyFont="1" applyFill="1" applyBorder="1"/>
    <xf numFmtId="0" fontId="19" fillId="5" borderId="6" xfId="0" applyFont="1" applyFill="1" applyBorder="1"/>
    <xf numFmtId="0" fontId="19" fillId="5" borderId="7" xfId="0" applyFont="1" applyFill="1" applyBorder="1"/>
    <xf numFmtId="165" fontId="21" fillId="5" borderId="7" xfId="1" applyNumberFormat="1" applyFont="1" applyFill="1" applyBorder="1"/>
    <xf numFmtId="0" fontId="19" fillId="5" borderId="8" xfId="0" applyFont="1" applyFill="1" applyBorder="1"/>
    <xf numFmtId="44" fontId="13" fillId="5" borderId="0" xfId="2" applyFont="1" applyFill="1" applyBorder="1" applyAlignment="1">
      <alignment horizontal="center" vertical="center" wrapText="1"/>
    </xf>
    <xf numFmtId="0" fontId="13" fillId="11" borderId="4" xfId="0" applyFont="1" applyFill="1" applyBorder="1" applyAlignment="1">
      <alignment vertical="center" wrapText="1"/>
    </xf>
    <xf numFmtId="0" fontId="13" fillId="11" borderId="0" xfId="0" applyFont="1" applyFill="1" applyBorder="1" applyAlignment="1">
      <alignment vertical="center" wrapText="1"/>
    </xf>
    <xf numFmtId="44" fontId="13" fillId="11" borderId="0" xfId="2" applyFont="1" applyFill="1" applyBorder="1" applyAlignment="1">
      <alignment horizontal="center" vertical="center" wrapText="1"/>
    </xf>
    <xf numFmtId="0" fontId="13" fillId="11" borderId="5" xfId="0" applyFont="1" applyFill="1" applyBorder="1" applyAlignment="1">
      <alignment vertical="center" wrapText="1"/>
    </xf>
    <xf numFmtId="0" fontId="4" fillId="3" borderId="1" xfId="0" applyFont="1" applyFill="1" applyBorder="1" applyAlignment="1">
      <alignment horizontal="left" vertical="center" wrapText="1"/>
    </xf>
    <xf numFmtId="0" fontId="4" fillId="3" borderId="2" xfId="0" applyFont="1" applyFill="1" applyBorder="1" applyAlignment="1">
      <alignment horizontal="center" vertical="center" wrapText="1"/>
    </xf>
    <xf numFmtId="44" fontId="4" fillId="3" borderId="2" xfId="2" applyFont="1" applyFill="1" applyBorder="1" applyAlignment="1">
      <alignment horizontal="center" vertical="center" wrapText="1"/>
    </xf>
    <xf numFmtId="0" fontId="4" fillId="3" borderId="3" xfId="0" applyFont="1" applyFill="1" applyBorder="1" applyAlignment="1">
      <alignment horizontal="center" vertical="center" wrapText="1"/>
    </xf>
    <xf numFmtId="0" fontId="23" fillId="5" borderId="9" xfId="0" applyFont="1" applyFill="1" applyBorder="1" applyAlignment="1">
      <alignment horizontal="left" vertical="center" wrapText="1"/>
    </xf>
    <xf numFmtId="0" fontId="13" fillId="5" borderId="10" xfId="0" applyFont="1" applyFill="1" applyBorder="1" applyAlignment="1">
      <alignment horizontal="center" vertical="center" wrapText="1"/>
    </xf>
    <xf numFmtId="44" fontId="13" fillId="5" borderId="11" xfId="2" applyFont="1" applyFill="1" applyBorder="1" applyAlignment="1">
      <alignment horizontal="center" vertical="center" wrapText="1"/>
    </xf>
    <xf numFmtId="0" fontId="13" fillId="5" borderId="11" xfId="0" applyFont="1" applyFill="1" applyBorder="1" applyAlignment="1">
      <alignment horizontal="center" vertical="center" wrapText="1"/>
    </xf>
    <xf numFmtId="0" fontId="13" fillId="5" borderId="12" xfId="0" applyFont="1" applyFill="1" applyBorder="1" applyAlignment="1">
      <alignment horizontal="left" vertical="center" wrapText="1"/>
    </xf>
    <xf numFmtId="165" fontId="13" fillId="5" borderId="0" xfId="0" applyNumberFormat="1" applyFont="1" applyFill="1" applyBorder="1" applyAlignment="1">
      <alignment horizontal="center" vertical="center" wrapText="1"/>
    </xf>
    <xf numFmtId="2" fontId="13" fillId="5" borderId="13" xfId="0" applyNumberFormat="1" applyFont="1" applyFill="1" applyBorder="1" applyAlignment="1">
      <alignment horizontal="center" vertical="center" wrapText="1"/>
    </xf>
    <xf numFmtId="2" fontId="16" fillId="10" borderId="13" xfId="0" applyNumberFormat="1" applyFont="1" applyFill="1" applyBorder="1" applyAlignment="1">
      <alignment horizontal="center" vertical="center" wrapText="1"/>
    </xf>
    <xf numFmtId="0" fontId="13" fillId="5" borderId="14" xfId="0" applyFont="1" applyFill="1" applyBorder="1" applyAlignment="1">
      <alignment horizontal="left" vertical="center" wrapText="1"/>
    </xf>
    <xf numFmtId="165" fontId="13" fillId="5" borderId="15" xfId="0" applyNumberFormat="1" applyFont="1" applyFill="1" applyBorder="1" applyAlignment="1">
      <alignment horizontal="center" vertical="center" wrapText="1"/>
    </xf>
    <xf numFmtId="2" fontId="13" fillId="5" borderId="16" xfId="0" applyNumberFormat="1" applyFont="1" applyFill="1" applyBorder="1" applyAlignment="1">
      <alignment horizontal="center" vertical="center" wrapText="1"/>
    </xf>
    <xf numFmtId="0" fontId="13" fillId="11" borderId="0" xfId="0" applyFont="1" applyFill="1" applyBorder="1" applyAlignment="1">
      <alignment horizontal="center" vertical="center" wrapText="1"/>
    </xf>
    <xf numFmtId="0" fontId="23" fillId="5" borderId="9" xfId="0" applyFont="1" applyFill="1" applyBorder="1" applyAlignment="1">
      <alignment vertical="center" wrapText="1"/>
    </xf>
    <xf numFmtId="0" fontId="13" fillId="5" borderId="11" xfId="0" applyFont="1" applyFill="1" applyBorder="1" applyAlignment="1">
      <alignment vertical="center" wrapText="1"/>
    </xf>
    <xf numFmtId="0" fontId="13" fillId="5" borderId="12" xfId="0" applyFont="1" applyFill="1" applyBorder="1" applyAlignment="1">
      <alignment vertical="center" wrapText="1"/>
    </xf>
    <xf numFmtId="0" fontId="13" fillId="5" borderId="13" xfId="0" applyFont="1" applyFill="1" applyBorder="1" applyAlignment="1">
      <alignment horizontal="center" vertical="center" wrapText="1"/>
    </xf>
    <xf numFmtId="0" fontId="13" fillId="5" borderId="16" xfId="0" applyFont="1" applyFill="1" applyBorder="1" applyAlignment="1">
      <alignment horizontal="center" vertical="center" wrapText="1"/>
    </xf>
    <xf numFmtId="0" fontId="13" fillId="5" borderId="22" xfId="0" applyFont="1" applyFill="1" applyBorder="1" applyAlignment="1">
      <alignment horizontal="center" vertical="center" wrapText="1"/>
    </xf>
    <xf numFmtId="0" fontId="13" fillId="5" borderId="20" xfId="0" applyFont="1" applyFill="1" applyBorder="1" applyAlignment="1">
      <alignment horizontal="center" vertical="center" wrapText="1"/>
    </xf>
    <xf numFmtId="0" fontId="13" fillId="5" borderId="14" xfId="0" applyFont="1" applyFill="1" applyBorder="1" applyAlignment="1">
      <alignment vertical="center" wrapText="1"/>
    </xf>
    <xf numFmtId="0" fontId="13" fillId="5" borderId="21" xfId="0" applyFont="1" applyFill="1" applyBorder="1" applyAlignment="1">
      <alignment horizontal="center" vertical="center" wrapText="1"/>
    </xf>
    <xf numFmtId="2" fontId="16" fillId="10" borderId="16" xfId="0" applyNumberFormat="1" applyFont="1" applyFill="1" applyBorder="1" applyAlignment="1">
      <alignment horizontal="center" vertical="center" wrapText="1"/>
    </xf>
    <xf numFmtId="0" fontId="4" fillId="3" borderId="24" xfId="0" applyFont="1" applyFill="1" applyBorder="1" applyAlignment="1">
      <alignment horizontal="center" vertical="center" wrapText="1"/>
    </xf>
    <xf numFmtId="44" fontId="13" fillId="5" borderId="10" xfId="2" applyFont="1" applyFill="1" applyBorder="1" applyAlignment="1">
      <alignment horizontal="center" vertical="center" wrapText="1"/>
    </xf>
    <xf numFmtId="165" fontId="11" fillId="10" borderId="13" xfId="0" applyNumberFormat="1" applyFont="1" applyFill="1" applyBorder="1" applyAlignment="1">
      <alignment horizontal="center" vertical="center" wrapText="1"/>
    </xf>
    <xf numFmtId="0" fontId="13" fillId="5" borderId="0" xfId="0" applyFont="1" applyFill="1" applyBorder="1" applyAlignment="1">
      <alignment horizontal="left" vertical="center" wrapText="1"/>
    </xf>
    <xf numFmtId="165" fontId="11" fillId="5" borderId="13" xfId="0" applyNumberFormat="1" applyFont="1" applyFill="1" applyBorder="1" applyAlignment="1">
      <alignment horizontal="center" vertical="center" wrapText="1"/>
    </xf>
    <xf numFmtId="0" fontId="11" fillId="5" borderId="10" xfId="0" applyFont="1" applyFill="1" applyBorder="1" applyAlignment="1">
      <alignment horizontal="center" vertical="center" wrapText="1"/>
    </xf>
    <xf numFmtId="0" fontId="11" fillId="5" borderId="11" xfId="0" applyFont="1" applyFill="1" applyBorder="1" applyAlignment="1">
      <alignment horizontal="center" vertical="center" wrapText="1"/>
    </xf>
    <xf numFmtId="165" fontId="11" fillId="5" borderId="11" xfId="0" applyNumberFormat="1" applyFont="1" applyFill="1" applyBorder="1" applyAlignment="1">
      <alignment horizontal="center" vertical="center" wrapText="1"/>
    </xf>
    <xf numFmtId="0" fontId="13" fillId="5" borderId="15" xfId="0" applyFont="1" applyFill="1" applyBorder="1" applyAlignment="1">
      <alignment horizontal="left" vertical="center" wrapText="1"/>
    </xf>
    <xf numFmtId="0" fontId="13" fillId="5" borderId="15" xfId="0" applyFont="1" applyFill="1" applyBorder="1" applyAlignment="1">
      <alignment horizontal="center" vertical="center" wrapText="1"/>
    </xf>
    <xf numFmtId="0" fontId="4" fillId="3" borderId="1" xfId="0" applyFont="1" applyFill="1" applyBorder="1" applyAlignment="1">
      <alignment vertical="center" wrapText="1"/>
    </xf>
    <xf numFmtId="0" fontId="4" fillId="3" borderId="2" xfId="0" applyFont="1" applyFill="1" applyBorder="1" applyAlignment="1">
      <alignment vertical="center" wrapText="1"/>
    </xf>
    <xf numFmtId="0" fontId="13" fillId="5" borderId="9" xfId="0" applyFont="1" applyFill="1" applyBorder="1" applyAlignment="1">
      <alignment vertical="center" wrapText="1"/>
    </xf>
    <xf numFmtId="0" fontId="13" fillId="5" borderId="10" xfId="0" applyFont="1" applyFill="1" applyBorder="1" applyAlignment="1">
      <alignment vertical="center" wrapText="1"/>
    </xf>
    <xf numFmtId="0" fontId="13" fillId="12" borderId="4" xfId="0" applyFont="1" applyFill="1" applyBorder="1" applyAlignment="1">
      <alignment vertical="center" wrapText="1"/>
    </xf>
    <xf numFmtId="44" fontId="13" fillId="12" borderId="0" xfId="2" applyFont="1" applyFill="1" applyBorder="1" applyAlignment="1">
      <alignment horizontal="center" vertical="center" wrapText="1"/>
    </xf>
    <xf numFmtId="0" fontId="13" fillId="12" borderId="5" xfId="0" applyFont="1" applyFill="1" applyBorder="1" applyAlignment="1">
      <alignment vertical="center" wrapText="1"/>
    </xf>
    <xf numFmtId="0" fontId="4" fillId="3" borderId="17" xfId="0" applyFont="1" applyFill="1" applyBorder="1" applyAlignment="1">
      <alignment horizontal="left" vertical="center" wrapText="1"/>
    </xf>
    <xf numFmtId="0" fontId="4" fillId="3" borderId="18" xfId="0" applyFont="1" applyFill="1" applyBorder="1" applyAlignment="1">
      <alignment horizontal="center" vertical="center" wrapText="1"/>
    </xf>
    <xf numFmtId="44" fontId="4" fillId="3" borderId="18" xfId="2" applyFont="1" applyFill="1" applyBorder="1" applyAlignment="1">
      <alignment horizontal="center" vertical="center" wrapText="1"/>
    </xf>
    <xf numFmtId="0" fontId="23" fillId="5" borderId="12" xfId="0" applyFont="1" applyFill="1" applyBorder="1" applyAlignment="1">
      <alignment horizontal="left" vertical="center" wrapText="1"/>
    </xf>
    <xf numFmtId="44" fontId="13" fillId="5" borderId="13" xfId="2" applyFont="1" applyFill="1" applyBorder="1" applyAlignment="1">
      <alignment horizontal="center" vertical="center" wrapText="1"/>
    </xf>
    <xf numFmtId="0" fontId="11" fillId="5" borderId="0" xfId="0" applyFont="1" applyFill="1" applyBorder="1" applyAlignment="1">
      <alignment horizontal="center" vertical="center" wrapText="1"/>
    </xf>
    <xf numFmtId="44" fontId="11" fillId="5" borderId="13" xfId="2" applyFont="1" applyFill="1" applyBorder="1" applyAlignment="1">
      <alignment horizontal="center" vertical="center" wrapText="1"/>
    </xf>
    <xf numFmtId="0" fontId="16" fillId="5" borderId="13" xfId="0" applyFont="1" applyFill="1" applyBorder="1" applyAlignment="1">
      <alignment horizontal="center" vertical="center" wrapText="1"/>
    </xf>
    <xf numFmtId="0" fontId="23" fillId="12" borderId="0" xfId="0" applyFont="1" applyFill="1" applyBorder="1" applyAlignment="1">
      <alignment vertical="center" wrapText="1"/>
    </xf>
    <xf numFmtId="0" fontId="23" fillId="5" borderId="12" xfId="0" applyFont="1" applyFill="1" applyBorder="1" applyAlignment="1">
      <alignment vertical="center" wrapText="1"/>
    </xf>
    <xf numFmtId="0" fontId="13" fillId="5" borderId="13" xfId="0" applyFont="1" applyFill="1" applyBorder="1" applyAlignment="1">
      <alignment vertical="center" wrapText="1"/>
    </xf>
    <xf numFmtId="0" fontId="16" fillId="5" borderId="13" xfId="0" applyFont="1" applyFill="1" applyBorder="1" applyAlignment="1">
      <alignment vertical="center" wrapText="1"/>
    </xf>
    <xf numFmtId="2" fontId="13" fillId="5" borderId="20" xfId="0" applyNumberFormat="1" applyFont="1" applyFill="1" applyBorder="1" applyAlignment="1">
      <alignment horizontal="center" vertical="center" wrapText="1"/>
    </xf>
    <xf numFmtId="0" fontId="24" fillId="12" borderId="0" xfId="0" applyFont="1" applyFill="1" applyBorder="1" applyAlignment="1">
      <alignment vertical="center" wrapText="1"/>
    </xf>
    <xf numFmtId="2" fontId="6" fillId="12" borderId="0" xfId="0" applyNumberFormat="1" applyFont="1" applyFill="1" applyBorder="1" applyAlignment="1">
      <alignment horizontal="center" vertical="center" wrapText="1"/>
    </xf>
    <xf numFmtId="2" fontId="11" fillId="10" borderId="13" xfId="0" applyNumberFormat="1" applyFont="1" applyFill="1" applyBorder="1" applyAlignment="1">
      <alignment horizontal="center" vertical="center" wrapText="1"/>
    </xf>
    <xf numFmtId="0" fontId="4" fillId="3" borderId="12" xfId="0" applyFont="1" applyFill="1" applyBorder="1" applyAlignment="1">
      <alignment horizontal="left" vertical="center" wrapText="1"/>
    </xf>
    <xf numFmtId="44" fontId="4" fillId="3" borderId="0" xfId="2" applyFont="1" applyFill="1" applyBorder="1" applyAlignment="1">
      <alignment horizontal="center" vertical="center" wrapText="1"/>
    </xf>
    <xf numFmtId="0" fontId="4" fillId="3" borderId="13" xfId="0" applyFont="1" applyFill="1" applyBorder="1" applyAlignment="1">
      <alignment horizontal="center" vertical="center" wrapText="1"/>
    </xf>
    <xf numFmtId="0" fontId="11" fillId="5" borderId="20" xfId="0" applyFont="1" applyFill="1" applyBorder="1" applyAlignment="1">
      <alignment horizontal="center" vertical="center" wrapText="1"/>
    </xf>
    <xf numFmtId="0" fontId="11" fillId="5" borderId="13" xfId="0" applyFont="1" applyFill="1" applyBorder="1" applyAlignment="1">
      <alignment horizontal="center" vertical="center" wrapText="1"/>
    </xf>
    <xf numFmtId="0" fontId="4" fillId="12" borderId="4" xfId="0" applyFont="1" applyFill="1" applyBorder="1" applyAlignment="1">
      <alignment vertical="center" wrapText="1"/>
    </xf>
    <xf numFmtId="0" fontId="4" fillId="3" borderId="18" xfId="0" applyFont="1" applyFill="1" applyBorder="1" applyAlignment="1">
      <alignment vertical="center" wrapText="1"/>
    </xf>
    <xf numFmtId="2" fontId="13" fillId="12" borderId="0" xfId="0" applyNumberFormat="1" applyFont="1" applyFill="1" applyBorder="1" applyAlignment="1">
      <alignment horizontal="center" vertical="center" wrapText="1"/>
    </xf>
    <xf numFmtId="2" fontId="11" fillId="12" borderId="0" xfId="0" applyNumberFormat="1" applyFont="1" applyFill="1" applyBorder="1" applyAlignment="1">
      <alignment horizontal="center" vertical="center" wrapText="1"/>
    </xf>
    <xf numFmtId="2" fontId="13" fillId="5" borderId="0" xfId="0" applyNumberFormat="1" applyFont="1" applyFill="1" applyBorder="1" applyAlignment="1">
      <alignment horizontal="center" vertical="center" wrapText="1"/>
    </xf>
    <xf numFmtId="2" fontId="11" fillId="5" borderId="0" xfId="0" applyNumberFormat="1" applyFont="1" applyFill="1" applyBorder="1" applyAlignment="1">
      <alignment horizontal="center" vertical="center" wrapText="1"/>
    </xf>
    <xf numFmtId="0" fontId="13" fillId="13" borderId="4" xfId="0" applyFont="1" applyFill="1" applyBorder="1" applyAlignment="1">
      <alignment vertical="center" wrapText="1"/>
    </xf>
    <xf numFmtId="0" fontId="13" fillId="13" borderId="0" xfId="0" applyFont="1" applyFill="1" applyBorder="1" applyAlignment="1">
      <alignment vertical="center" wrapText="1"/>
    </xf>
    <xf numFmtId="0" fontId="4" fillId="13" borderId="0" xfId="0" applyFont="1" applyFill="1" applyBorder="1" applyAlignment="1">
      <alignment horizontal="left" vertical="center" wrapText="1"/>
    </xf>
    <xf numFmtId="0" fontId="4" fillId="13" borderId="0" xfId="0" applyFont="1" applyFill="1" applyBorder="1" applyAlignment="1">
      <alignment horizontal="center" vertical="center" wrapText="1"/>
    </xf>
    <xf numFmtId="44" fontId="4" fillId="13" borderId="0" xfId="2" applyFont="1" applyFill="1" applyBorder="1" applyAlignment="1">
      <alignment horizontal="center" vertical="center" wrapText="1"/>
    </xf>
    <xf numFmtId="0" fontId="13" fillId="13" borderId="5" xfId="0" applyFont="1" applyFill="1" applyBorder="1" applyAlignment="1">
      <alignment vertical="center" wrapText="1"/>
    </xf>
    <xf numFmtId="44" fontId="13" fillId="13" borderId="0" xfId="2" applyFont="1" applyFill="1" applyBorder="1" applyAlignment="1">
      <alignment horizontal="center" vertical="center" wrapText="1"/>
    </xf>
    <xf numFmtId="0" fontId="13" fillId="13" borderId="0" xfId="0" applyFont="1" applyFill="1" applyBorder="1" applyAlignment="1">
      <alignment horizontal="left" vertical="center" wrapText="1"/>
    </xf>
    <xf numFmtId="0" fontId="13" fillId="13" borderId="0" xfId="0" applyFont="1" applyFill="1" applyBorder="1" applyAlignment="1">
      <alignment horizontal="center" vertical="center" wrapText="1"/>
    </xf>
    <xf numFmtId="0" fontId="11" fillId="13" borderId="0" xfId="0" applyFont="1" applyFill="1" applyBorder="1" applyAlignment="1">
      <alignment horizontal="center" vertical="center" wrapText="1"/>
    </xf>
    <xf numFmtId="165" fontId="11" fillId="13" borderId="0" xfId="0" applyNumberFormat="1" applyFont="1" applyFill="1" applyBorder="1" applyAlignment="1">
      <alignment horizontal="center" vertical="center" wrapText="1"/>
    </xf>
    <xf numFmtId="0" fontId="4" fillId="13" borderId="0" xfId="0" applyFont="1" applyFill="1" applyBorder="1" applyAlignment="1">
      <alignment vertical="center" wrapText="1"/>
    </xf>
    <xf numFmtId="0" fontId="4" fillId="13" borderId="4" xfId="0" applyFont="1" applyFill="1" applyBorder="1" applyAlignment="1">
      <alignment horizontal="center" vertical="center" wrapText="1"/>
    </xf>
    <xf numFmtId="2" fontId="11" fillId="13" borderId="0" xfId="0" applyNumberFormat="1" applyFont="1" applyFill="1" applyBorder="1" applyAlignment="1">
      <alignment horizontal="center" vertical="center" wrapText="1"/>
    </xf>
    <xf numFmtId="165" fontId="13" fillId="13" borderId="0" xfId="0" applyNumberFormat="1" applyFont="1" applyFill="1" applyBorder="1" applyAlignment="1">
      <alignment horizontal="center" vertical="center" wrapText="1"/>
    </xf>
    <xf numFmtId="2" fontId="13" fillId="13" borderId="0" xfId="0" applyNumberFormat="1" applyFont="1" applyFill="1" applyBorder="1" applyAlignment="1">
      <alignment horizontal="center" vertical="center" wrapText="1"/>
    </xf>
    <xf numFmtId="2" fontId="16" fillId="13" borderId="0" xfId="0" applyNumberFormat="1" applyFont="1" applyFill="1" applyBorder="1" applyAlignment="1">
      <alignment horizontal="center" vertical="center" wrapText="1"/>
    </xf>
    <xf numFmtId="44" fontId="4" fillId="5" borderId="0" xfId="2" applyFont="1" applyFill="1" applyBorder="1" applyAlignment="1">
      <alignment horizontal="center" vertical="center" wrapText="1"/>
    </xf>
    <xf numFmtId="0" fontId="13" fillId="14" borderId="4" xfId="0" applyFont="1" applyFill="1" applyBorder="1" applyAlignment="1">
      <alignment vertical="center" wrapText="1"/>
    </xf>
    <xf numFmtId="0" fontId="13" fillId="14" borderId="0" xfId="0" applyFont="1" applyFill="1" applyBorder="1" applyAlignment="1">
      <alignment vertical="center" wrapText="1"/>
    </xf>
    <xf numFmtId="0" fontId="13" fillId="14" borderId="0" xfId="0" applyFont="1" applyFill="1" applyBorder="1" applyAlignment="1">
      <alignment horizontal="center" vertical="center" wrapText="1"/>
    </xf>
    <xf numFmtId="44" fontId="13" fillId="14" borderId="0" xfId="2" applyFont="1" applyFill="1" applyBorder="1" applyAlignment="1">
      <alignment horizontal="center" vertical="center" wrapText="1"/>
    </xf>
    <xf numFmtId="0" fontId="13" fillId="14" borderId="5" xfId="0" applyFont="1" applyFill="1" applyBorder="1" applyAlignment="1">
      <alignment vertical="center" wrapText="1"/>
    </xf>
    <xf numFmtId="0" fontId="23" fillId="14" borderId="0" xfId="0" applyFont="1" applyFill="1" applyBorder="1" applyAlignment="1">
      <alignment vertical="center" wrapText="1"/>
    </xf>
    <xf numFmtId="0" fontId="4" fillId="14" borderId="0" xfId="0" applyFont="1" applyFill="1" applyBorder="1" applyAlignment="1">
      <alignment vertical="center" wrapText="1"/>
    </xf>
    <xf numFmtId="44" fontId="4" fillId="14" borderId="0" xfId="2" applyFont="1" applyFill="1" applyBorder="1" applyAlignment="1">
      <alignment horizontal="center" vertical="center" wrapText="1"/>
    </xf>
    <xf numFmtId="0" fontId="13" fillId="14" borderId="0" xfId="0" applyFont="1" applyFill="1" applyBorder="1" applyAlignment="1">
      <alignment horizontal="left" vertical="center" wrapText="1"/>
    </xf>
    <xf numFmtId="2" fontId="11" fillId="14" borderId="0" xfId="0" applyNumberFormat="1" applyFont="1" applyFill="1" applyBorder="1" applyAlignment="1">
      <alignment horizontal="center" vertical="center" wrapText="1"/>
    </xf>
    <xf numFmtId="165" fontId="13" fillId="14" borderId="0" xfId="0" applyNumberFormat="1" applyFont="1" applyFill="1" applyBorder="1" applyAlignment="1">
      <alignment horizontal="center" vertical="center" wrapText="1"/>
    </xf>
    <xf numFmtId="2" fontId="13" fillId="14" borderId="0" xfId="0" applyNumberFormat="1" applyFont="1" applyFill="1" applyBorder="1" applyAlignment="1">
      <alignment horizontal="center" vertical="center" wrapText="1"/>
    </xf>
    <xf numFmtId="2" fontId="16" fillId="14" borderId="0" xfId="0" applyNumberFormat="1" applyFont="1" applyFill="1" applyBorder="1" applyAlignment="1">
      <alignment horizontal="center" vertical="center" wrapText="1"/>
    </xf>
    <xf numFmtId="0" fontId="11" fillId="14" borderId="0" xfId="0" applyFont="1" applyFill="1" applyBorder="1" applyAlignment="1">
      <alignment horizontal="center" vertical="center" wrapText="1"/>
    </xf>
    <xf numFmtId="0" fontId="13" fillId="15" borderId="4" xfId="0" applyFont="1" applyFill="1" applyBorder="1" applyAlignment="1">
      <alignment horizontal="center" vertical="center" wrapText="1"/>
    </xf>
    <xf numFmtId="0" fontId="13" fillId="15" borderId="0" xfId="0" applyFont="1" applyFill="1" applyBorder="1" applyAlignment="1">
      <alignment vertical="center" wrapText="1"/>
    </xf>
    <xf numFmtId="0" fontId="4" fillId="15" borderId="0" xfId="0" applyFont="1" applyFill="1" applyBorder="1" applyAlignment="1">
      <alignment vertical="center" wrapText="1"/>
    </xf>
    <xf numFmtId="44" fontId="4" fillId="15" borderId="0" xfId="2" applyFont="1" applyFill="1" applyBorder="1" applyAlignment="1">
      <alignment horizontal="center" vertical="center" wrapText="1"/>
    </xf>
    <xf numFmtId="0" fontId="13" fillId="15" borderId="5" xfId="0" applyFont="1" applyFill="1" applyBorder="1" applyAlignment="1">
      <alignment vertical="center" wrapText="1"/>
    </xf>
    <xf numFmtId="0" fontId="13" fillId="15" borderId="4" xfId="0" applyFont="1" applyFill="1" applyBorder="1" applyAlignment="1">
      <alignment vertical="center" wrapText="1"/>
    </xf>
    <xf numFmtId="0" fontId="23" fillId="15" borderId="0" xfId="0" applyFont="1" applyFill="1" applyBorder="1" applyAlignment="1">
      <alignment vertical="center" wrapText="1"/>
    </xf>
    <xf numFmtId="0" fontId="13" fillId="15" borderId="0" xfId="0" applyFont="1" applyFill="1" applyBorder="1" applyAlignment="1">
      <alignment horizontal="center" vertical="center" wrapText="1"/>
    </xf>
    <xf numFmtId="44" fontId="13" fillId="15" borderId="0" xfId="2" applyFont="1" applyFill="1" applyBorder="1" applyAlignment="1">
      <alignment horizontal="center" vertical="center" wrapText="1"/>
    </xf>
    <xf numFmtId="0" fontId="4" fillId="15" borderId="0" xfId="0" applyFont="1" applyFill="1" applyBorder="1" applyAlignment="1">
      <alignment horizontal="left" vertical="center" wrapText="1"/>
    </xf>
    <xf numFmtId="0" fontId="4" fillId="15" borderId="0" xfId="0" applyFont="1" applyFill="1" applyBorder="1" applyAlignment="1">
      <alignment horizontal="center" vertical="center" wrapText="1"/>
    </xf>
    <xf numFmtId="0" fontId="11" fillId="15" borderId="0" xfId="0" applyFont="1" applyFill="1" applyBorder="1" applyAlignment="1">
      <alignment horizontal="center" vertical="center" wrapText="1"/>
    </xf>
    <xf numFmtId="0" fontId="13" fillId="15" borderId="0" xfId="0" applyFont="1" applyFill="1" applyBorder="1" applyAlignment="1">
      <alignment horizontal="left" vertical="center" wrapText="1"/>
    </xf>
    <xf numFmtId="2" fontId="11" fillId="15" borderId="0" xfId="0" applyNumberFormat="1" applyFont="1" applyFill="1" applyBorder="1" applyAlignment="1">
      <alignment horizontal="center" vertical="center" wrapText="1"/>
    </xf>
    <xf numFmtId="165" fontId="13" fillId="15" borderId="0" xfId="0" applyNumberFormat="1" applyFont="1" applyFill="1" applyBorder="1" applyAlignment="1">
      <alignment horizontal="center" vertical="center" wrapText="1"/>
    </xf>
    <xf numFmtId="2" fontId="13" fillId="15" borderId="0" xfId="0" applyNumberFormat="1" applyFont="1" applyFill="1" applyBorder="1" applyAlignment="1">
      <alignment horizontal="center" vertical="center" wrapText="1"/>
    </xf>
    <xf numFmtId="2" fontId="16" fillId="15" borderId="0" xfId="0" applyNumberFormat="1" applyFont="1" applyFill="1" applyBorder="1" applyAlignment="1">
      <alignment horizontal="center" vertical="center" wrapText="1"/>
    </xf>
    <xf numFmtId="165" fontId="11" fillId="10" borderId="20" xfId="0" applyNumberFormat="1" applyFont="1" applyFill="1" applyBorder="1" applyAlignment="1">
      <alignment horizontal="center" vertical="center" wrapText="1"/>
    </xf>
    <xf numFmtId="165" fontId="11" fillId="5" borderId="20" xfId="0" applyNumberFormat="1" applyFont="1" applyFill="1" applyBorder="1" applyAlignment="1">
      <alignment horizontal="center" vertical="center" wrapText="1"/>
    </xf>
    <xf numFmtId="165" fontId="11" fillId="5" borderId="22" xfId="0" applyNumberFormat="1" applyFont="1" applyFill="1" applyBorder="1" applyAlignment="1">
      <alignment horizontal="center" vertical="center" wrapText="1"/>
    </xf>
    <xf numFmtId="165" fontId="11" fillId="5" borderId="21" xfId="0" applyNumberFormat="1" applyFont="1" applyFill="1" applyBorder="1" applyAlignment="1">
      <alignment horizontal="center" vertical="center" wrapText="1"/>
    </xf>
    <xf numFmtId="44" fontId="4" fillId="3" borderId="13" xfId="2" applyFont="1" applyFill="1" applyBorder="1" applyAlignment="1">
      <alignment horizontal="center" vertical="center" wrapText="1"/>
    </xf>
    <xf numFmtId="0" fontId="13" fillId="19" borderId="4" xfId="0" applyFont="1" applyFill="1" applyBorder="1" applyAlignment="1">
      <alignment vertical="center" wrapText="1"/>
    </xf>
    <xf numFmtId="0" fontId="13" fillId="19" borderId="0" xfId="0" applyFont="1" applyFill="1" applyBorder="1" applyAlignment="1">
      <alignment vertical="center" wrapText="1"/>
    </xf>
    <xf numFmtId="44" fontId="13" fillId="19" borderId="0" xfId="2" applyFont="1" applyFill="1" applyBorder="1" applyAlignment="1">
      <alignment horizontal="center" vertical="center" wrapText="1"/>
    </xf>
    <xf numFmtId="0" fontId="13" fillId="19" borderId="5" xfId="0" applyFont="1" applyFill="1" applyBorder="1" applyAlignment="1">
      <alignment vertical="center" wrapText="1"/>
    </xf>
    <xf numFmtId="0" fontId="13" fillId="19" borderId="0" xfId="0" applyFont="1" applyFill="1" applyBorder="1" applyAlignment="1">
      <alignment horizontal="left" vertical="center" wrapText="1"/>
    </xf>
    <xf numFmtId="0" fontId="13" fillId="19" borderId="0" xfId="0" applyFont="1" applyFill="1" applyBorder="1" applyAlignment="1">
      <alignment horizontal="center" vertical="center" wrapText="1"/>
    </xf>
    <xf numFmtId="0" fontId="4" fillId="19" borderId="0" xfId="0" applyFont="1" applyFill="1" applyBorder="1" applyAlignment="1">
      <alignment horizontal="center" vertical="center" wrapText="1"/>
    </xf>
    <xf numFmtId="165" fontId="11" fillId="19" borderId="0" xfId="0" applyNumberFormat="1" applyFont="1" applyFill="1" applyBorder="1" applyAlignment="1">
      <alignment horizontal="center" vertical="center" wrapText="1"/>
    </xf>
    <xf numFmtId="0" fontId="25" fillId="5" borderId="4" xfId="0" applyFont="1" applyFill="1" applyBorder="1" applyAlignment="1">
      <alignment horizontal="right" vertical="center" wrapText="1"/>
    </xf>
    <xf numFmtId="0" fontId="25" fillId="5" borderId="0" xfId="0" applyFont="1" applyFill="1" applyBorder="1" applyAlignment="1">
      <alignment horizontal="right" vertical="center" wrapText="1"/>
    </xf>
    <xf numFmtId="0" fontId="4" fillId="5" borderId="17" xfId="0" applyFont="1" applyFill="1" applyBorder="1" applyAlignment="1">
      <alignment horizontal="left" vertical="center" wrapText="1"/>
    </xf>
    <xf numFmtId="0" fontId="4" fillId="5" borderId="18" xfId="0" applyFont="1" applyFill="1" applyBorder="1" applyAlignment="1">
      <alignment horizontal="left" vertical="center" wrapText="1"/>
    </xf>
    <xf numFmtId="0" fontId="4" fillId="5" borderId="19" xfId="0" applyFont="1" applyFill="1" applyBorder="1" applyAlignment="1">
      <alignment horizontal="left" vertical="center" wrapText="1"/>
    </xf>
    <xf numFmtId="44" fontId="4" fillId="5" borderId="17" xfId="2" applyFont="1" applyFill="1" applyBorder="1" applyAlignment="1">
      <alignment horizontal="center" vertical="center" wrapText="1"/>
    </xf>
    <xf numFmtId="44" fontId="4" fillId="5" borderId="19" xfId="2" applyFont="1" applyFill="1" applyBorder="1" applyAlignment="1">
      <alignment horizontal="center" vertical="center" wrapText="1"/>
    </xf>
    <xf numFmtId="0" fontId="13" fillId="5" borderId="0" xfId="0" applyFont="1" applyFill="1" applyAlignment="1">
      <alignment vertical="center"/>
    </xf>
    <xf numFmtId="44" fontId="13" fillId="5" borderId="0" xfId="2" applyFont="1" applyFill="1" applyAlignment="1">
      <alignment vertical="center"/>
    </xf>
    <xf numFmtId="0" fontId="25" fillId="8" borderId="1" xfId="0" applyFont="1" applyFill="1" applyBorder="1" applyAlignment="1">
      <alignment vertical="center"/>
    </xf>
    <xf numFmtId="0" fontId="11" fillId="8" borderId="2" xfId="0" applyFont="1" applyFill="1" applyBorder="1" applyAlignment="1">
      <alignment vertical="center"/>
    </xf>
    <xf numFmtId="0" fontId="13" fillId="8" borderId="2" xfId="0" applyFont="1" applyFill="1" applyBorder="1" applyAlignment="1">
      <alignment vertical="center"/>
    </xf>
    <xf numFmtId="0" fontId="25" fillId="5" borderId="4" xfId="0" applyFont="1" applyFill="1" applyBorder="1" applyAlignment="1">
      <alignment vertical="center"/>
    </xf>
    <xf numFmtId="0" fontId="11" fillId="5" borderId="0" xfId="0" applyFont="1" applyFill="1" applyBorder="1" applyAlignment="1">
      <alignment vertical="center"/>
    </xf>
    <xf numFmtId="0" fontId="13" fillId="5" borderId="0" xfId="0" applyFont="1" applyFill="1" applyBorder="1" applyAlignment="1">
      <alignment vertical="center"/>
    </xf>
    <xf numFmtId="0" fontId="13" fillId="5" borderId="4" xfId="0" applyFont="1" applyFill="1" applyBorder="1" applyAlignment="1">
      <alignment vertical="center"/>
    </xf>
    <xf numFmtId="0" fontId="25" fillId="5" borderId="0" xfId="0" applyFont="1" applyFill="1" applyBorder="1" applyAlignment="1">
      <alignment vertical="center"/>
    </xf>
    <xf numFmtId="0" fontId="13" fillId="11" borderId="0" xfId="0" applyFont="1" applyFill="1" applyBorder="1" applyAlignment="1">
      <alignment vertical="center"/>
    </xf>
    <xf numFmtId="0" fontId="11" fillId="11" borderId="0" xfId="0" applyFont="1" applyFill="1" applyBorder="1" applyAlignment="1">
      <alignment vertical="center"/>
    </xf>
    <xf numFmtId="0" fontId="23" fillId="11" borderId="0" xfId="0" applyFont="1" applyFill="1" applyBorder="1" applyAlignment="1">
      <alignment vertical="center"/>
    </xf>
    <xf numFmtId="0" fontId="13" fillId="11" borderId="4" xfId="0" applyFont="1" applyFill="1" applyBorder="1" applyAlignment="1">
      <alignment vertical="center"/>
    </xf>
    <xf numFmtId="0" fontId="13" fillId="12" borderId="0" xfId="0" applyFont="1" applyFill="1" applyBorder="1" applyAlignment="1">
      <alignment vertical="center"/>
    </xf>
    <xf numFmtId="0" fontId="11" fillId="12" borderId="0" xfId="0" applyFont="1" applyFill="1" applyBorder="1" applyAlignment="1">
      <alignment vertical="center"/>
    </xf>
    <xf numFmtId="0" fontId="23" fillId="12" borderId="0" xfId="0" applyFont="1" applyFill="1" applyBorder="1" applyAlignment="1">
      <alignment vertical="center"/>
    </xf>
    <xf numFmtId="0" fontId="13" fillId="12" borderId="4" xfId="0" applyFont="1" applyFill="1" applyBorder="1" applyAlignment="1">
      <alignment vertical="center"/>
    </xf>
    <xf numFmtId="0" fontId="13" fillId="13" borderId="0" xfId="0" applyFont="1" applyFill="1" applyBorder="1" applyAlignment="1">
      <alignment vertical="center"/>
    </xf>
    <xf numFmtId="0" fontId="11" fillId="13" borderId="0" xfId="0" applyFont="1" applyFill="1" applyBorder="1" applyAlignment="1">
      <alignment vertical="center"/>
    </xf>
    <xf numFmtId="0" fontId="23" fillId="13" borderId="0" xfId="0" applyFont="1" applyFill="1" applyBorder="1" applyAlignment="1">
      <alignment vertical="center"/>
    </xf>
    <xf numFmtId="0" fontId="13" fillId="13" borderId="4" xfId="0" applyFont="1" applyFill="1" applyBorder="1" applyAlignment="1">
      <alignment vertical="center"/>
    </xf>
    <xf numFmtId="0" fontId="13" fillId="14" borderId="4" xfId="0" applyFont="1" applyFill="1" applyBorder="1" applyAlignment="1">
      <alignment vertical="center"/>
    </xf>
    <xf numFmtId="0" fontId="13" fillId="14" borderId="0" xfId="0" applyFont="1" applyFill="1" applyBorder="1" applyAlignment="1">
      <alignment vertical="center"/>
    </xf>
    <xf numFmtId="0" fontId="11" fillId="14" borderId="0" xfId="0" applyFont="1" applyFill="1" applyBorder="1" applyAlignment="1">
      <alignment vertical="center"/>
    </xf>
    <xf numFmtId="0" fontId="23" fillId="14" borderId="0" xfId="0" applyFont="1" applyFill="1" applyBorder="1" applyAlignment="1">
      <alignment vertical="center"/>
    </xf>
    <xf numFmtId="0" fontId="13" fillId="15" borderId="4" xfId="0" applyFont="1" applyFill="1" applyBorder="1" applyAlignment="1">
      <alignment vertical="center"/>
    </xf>
    <xf numFmtId="0" fontId="13" fillId="15" borderId="0" xfId="0" applyFont="1" applyFill="1" applyBorder="1" applyAlignment="1">
      <alignment vertical="center"/>
    </xf>
    <xf numFmtId="0" fontId="11" fillId="15" borderId="0" xfId="0" applyFont="1" applyFill="1" applyBorder="1" applyAlignment="1">
      <alignment vertical="center"/>
    </xf>
    <xf numFmtId="0" fontId="23" fillId="15" borderId="0" xfId="0" applyFont="1" applyFill="1" applyBorder="1" applyAlignment="1">
      <alignment vertical="center"/>
    </xf>
    <xf numFmtId="0" fontId="26" fillId="5" borderId="4" xfId="0" applyFont="1" applyFill="1" applyBorder="1" applyAlignment="1">
      <alignment horizontal="left" vertical="center"/>
    </xf>
    <xf numFmtId="0" fontId="26" fillId="5" borderId="0" xfId="0" applyFont="1" applyFill="1" applyBorder="1" applyAlignment="1">
      <alignment horizontal="left" vertical="center"/>
    </xf>
    <xf numFmtId="44" fontId="26" fillId="5" borderId="12" xfId="2" applyFont="1" applyFill="1" applyBorder="1" applyAlignment="1">
      <alignment horizontal="center" vertical="center"/>
    </xf>
    <xf numFmtId="44" fontId="26" fillId="5" borderId="13" xfId="2" applyFont="1" applyFill="1" applyBorder="1" applyAlignment="1">
      <alignment horizontal="center" vertical="center"/>
    </xf>
    <xf numFmtId="44" fontId="26" fillId="5" borderId="5" xfId="2" applyFont="1" applyFill="1" applyBorder="1" applyAlignment="1">
      <alignment horizontal="center" vertical="center"/>
    </xf>
    <xf numFmtId="0" fontId="27" fillId="5" borderId="4" xfId="0" applyFont="1" applyFill="1" applyBorder="1" applyAlignment="1">
      <alignment vertical="center"/>
    </xf>
    <xf numFmtId="44" fontId="13" fillId="5" borderId="0" xfId="2" applyFont="1" applyFill="1" applyBorder="1" applyAlignment="1">
      <alignment vertical="center"/>
    </xf>
    <xf numFmtId="44" fontId="13" fillId="11" borderId="0" xfId="2" applyFont="1" applyFill="1" applyBorder="1" applyAlignment="1">
      <alignment vertical="center"/>
    </xf>
    <xf numFmtId="0" fontId="25" fillId="11" borderId="0" xfId="0" applyFont="1" applyFill="1" applyBorder="1" applyAlignment="1">
      <alignment vertical="center"/>
    </xf>
    <xf numFmtId="44" fontId="13" fillId="12" borderId="0" xfId="2" applyFont="1" applyFill="1" applyBorder="1" applyAlignment="1">
      <alignment vertical="center"/>
    </xf>
    <xf numFmtId="0" fontId="25" fillId="12" borderId="0" xfId="0" applyFont="1" applyFill="1" applyBorder="1" applyAlignment="1">
      <alignment vertical="center"/>
    </xf>
    <xf numFmtId="0" fontId="25" fillId="13" borderId="0" xfId="0" applyFont="1" applyFill="1" applyBorder="1" applyAlignment="1">
      <alignment vertical="center"/>
    </xf>
    <xf numFmtId="0" fontId="25" fillId="14" borderId="0" xfId="0" applyFont="1" applyFill="1" applyBorder="1" applyAlignment="1">
      <alignment vertical="center"/>
    </xf>
    <xf numFmtId="0" fontId="25" fillId="15" borderId="0" xfId="0" applyFont="1" applyFill="1" applyBorder="1" applyAlignment="1">
      <alignment vertical="center"/>
    </xf>
    <xf numFmtId="44" fontId="13" fillId="5" borderId="12" xfId="2" applyFont="1" applyFill="1" applyBorder="1" applyAlignment="1">
      <alignment vertical="center"/>
    </xf>
    <xf numFmtId="44" fontId="13" fillId="5" borderId="13" xfId="2" applyFont="1" applyFill="1" applyBorder="1" applyAlignment="1">
      <alignment vertical="center"/>
    </xf>
    <xf numFmtId="44" fontId="13" fillId="5" borderId="5" xfId="2" applyFont="1" applyFill="1" applyBorder="1" applyAlignment="1">
      <alignment vertical="center"/>
    </xf>
    <xf numFmtId="0" fontId="13" fillId="12" borderId="13" xfId="0" applyFont="1" applyFill="1" applyBorder="1" applyAlignment="1">
      <alignment vertical="center"/>
    </xf>
    <xf numFmtId="0" fontId="13" fillId="5" borderId="13" xfId="0" applyFont="1" applyFill="1" applyBorder="1" applyAlignment="1">
      <alignment vertical="center"/>
    </xf>
    <xf numFmtId="0" fontId="24" fillId="5" borderId="0" xfId="0" applyFont="1" applyFill="1" applyAlignment="1">
      <alignment vertical="center"/>
    </xf>
    <xf numFmtId="0" fontId="23" fillId="5" borderId="4" xfId="0" applyFont="1" applyFill="1" applyBorder="1" applyAlignment="1">
      <alignment horizontal="center" vertical="center"/>
    </xf>
    <xf numFmtId="0" fontId="24" fillId="5" borderId="0" xfId="0" applyFont="1" applyFill="1" applyBorder="1" applyAlignment="1">
      <alignment horizontal="center" vertical="center"/>
    </xf>
    <xf numFmtId="0" fontId="24" fillId="5" borderId="13" xfId="0" applyFont="1" applyFill="1" applyBorder="1" applyAlignment="1">
      <alignment horizontal="center" vertical="center"/>
    </xf>
    <xf numFmtId="44" fontId="24" fillId="5" borderId="12" xfId="2" applyFont="1" applyFill="1" applyBorder="1" applyAlignment="1">
      <alignment horizontal="center" vertical="center"/>
    </xf>
    <xf numFmtId="44" fontId="24" fillId="5" borderId="0" xfId="2" applyFont="1" applyFill="1" applyBorder="1" applyAlignment="1">
      <alignment horizontal="center" vertical="center"/>
    </xf>
    <xf numFmtId="44" fontId="24" fillId="5" borderId="5" xfId="2" applyFont="1" applyFill="1" applyBorder="1" applyAlignment="1">
      <alignment horizontal="center" vertical="center"/>
    </xf>
    <xf numFmtId="0" fontId="25" fillId="5" borderId="0" xfId="0" applyFont="1" applyFill="1" applyBorder="1" applyAlignment="1">
      <alignment horizontal="left" vertical="center"/>
    </xf>
    <xf numFmtId="0" fontId="23" fillId="15" borderId="4" xfId="0" applyFont="1" applyFill="1" applyBorder="1" applyAlignment="1">
      <alignment horizontal="center" vertical="center"/>
    </xf>
    <xf numFmtId="0" fontId="25" fillId="15" borderId="0" xfId="0" applyFont="1" applyFill="1" applyBorder="1" applyAlignment="1">
      <alignment horizontal="left" vertical="center"/>
    </xf>
    <xf numFmtId="0" fontId="13" fillId="15" borderId="0" xfId="0" applyFont="1" applyFill="1" applyBorder="1" applyAlignment="1">
      <alignment horizontal="center" vertical="center"/>
    </xf>
    <xf numFmtId="0" fontId="13" fillId="15" borderId="0" xfId="0" applyFont="1" applyFill="1" applyBorder="1" applyAlignment="1">
      <alignment horizontal="left" vertical="center"/>
    </xf>
    <xf numFmtId="0" fontId="24" fillId="15" borderId="0" xfId="0" applyFont="1" applyFill="1" applyBorder="1" applyAlignment="1">
      <alignment horizontal="center" vertical="center"/>
    </xf>
    <xf numFmtId="0" fontId="24" fillId="15" borderId="13" xfId="0" applyFont="1" applyFill="1" applyBorder="1" applyAlignment="1">
      <alignment horizontal="center" vertical="center"/>
    </xf>
    <xf numFmtId="44" fontId="24" fillId="15" borderId="12" xfId="2" applyFont="1" applyFill="1" applyBorder="1" applyAlignment="1">
      <alignment horizontal="center" vertical="center"/>
    </xf>
    <xf numFmtId="0" fontId="25" fillId="8" borderId="4" xfId="0" applyFont="1" applyFill="1" applyBorder="1" applyAlignment="1">
      <alignment vertical="center"/>
    </xf>
    <xf numFmtId="0" fontId="11" fillId="8" borderId="0" xfId="0" applyFont="1" applyFill="1" applyBorder="1" applyAlignment="1">
      <alignment vertical="center"/>
    </xf>
    <xf numFmtId="0" fontId="13" fillId="8" borderId="0" xfId="0" applyFont="1" applyFill="1" applyBorder="1" applyAlignment="1">
      <alignment vertical="center"/>
    </xf>
    <xf numFmtId="0" fontId="13" fillId="11" borderId="13" xfId="0" applyFont="1" applyFill="1" applyBorder="1" applyAlignment="1">
      <alignment vertical="center"/>
    </xf>
    <xf numFmtId="0" fontId="13" fillId="13" borderId="13" xfId="0" applyFont="1" applyFill="1" applyBorder="1" applyAlignment="1">
      <alignment vertical="center"/>
    </xf>
    <xf numFmtId="44" fontId="13" fillId="14" borderId="0" xfId="2" applyFont="1" applyFill="1" applyBorder="1" applyAlignment="1">
      <alignment vertical="center"/>
    </xf>
    <xf numFmtId="0" fontId="13" fillId="19" borderId="4" xfId="0" applyFont="1" applyFill="1" applyBorder="1" applyAlignment="1">
      <alignment vertical="center"/>
    </xf>
    <xf numFmtId="0" fontId="13" fillId="19" borderId="0" xfId="0" applyFont="1" applyFill="1" applyBorder="1" applyAlignment="1">
      <alignment vertical="center"/>
    </xf>
    <xf numFmtId="0" fontId="25" fillId="5" borderId="4" xfId="0" applyFont="1" applyFill="1" applyBorder="1" applyAlignment="1">
      <alignment horizontal="right" vertical="center"/>
    </xf>
    <xf numFmtId="0" fontId="25" fillId="5" borderId="0" xfId="0" applyFont="1" applyFill="1" applyBorder="1" applyAlignment="1">
      <alignment horizontal="right" vertical="center"/>
    </xf>
    <xf numFmtId="0" fontId="25" fillId="12" borderId="4" xfId="0" applyFont="1" applyFill="1" applyBorder="1" applyAlignment="1">
      <alignment horizontal="right" vertical="center"/>
    </xf>
    <xf numFmtId="0" fontId="25" fillId="12" borderId="0" xfId="0" applyFont="1" applyFill="1" applyBorder="1" applyAlignment="1">
      <alignment horizontal="right" vertical="center"/>
    </xf>
    <xf numFmtId="0" fontId="28" fillId="12" borderId="0" xfId="0" applyFont="1" applyFill="1" applyBorder="1" applyAlignment="1">
      <alignment horizontal="left" vertical="center"/>
    </xf>
    <xf numFmtId="0" fontId="28" fillId="12" borderId="0" xfId="0" applyFont="1" applyFill="1" applyBorder="1" applyAlignment="1">
      <alignment vertical="center"/>
    </xf>
    <xf numFmtId="0" fontId="23" fillId="19" borderId="0" xfId="0" applyFont="1" applyFill="1" applyBorder="1" applyAlignment="1">
      <alignment vertical="center"/>
    </xf>
    <xf numFmtId="0" fontId="26" fillId="5" borderId="13" xfId="0" applyFont="1" applyFill="1" applyBorder="1" applyAlignment="1">
      <alignment horizontal="left" vertical="center"/>
    </xf>
    <xf numFmtId="0" fontId="23" fillId="5" borderId="17" xfId="0" applyFont="1" applyFill="1" applyBorder="1" applyAlignment="1">
      <alignment horizontal="center" vertical="center"/>
    </xf>
    <xf numFmtId="0" fontId="13" fillId="5" borderId="18" xfId="0" applyFont="1" applyFill="1" applyBorder="1" applyAlignment="1">
      <alignment horizontal="center" vertical="center"/>
    </xf>
    <xf numFmtId="44" fontId="13" fillId="5" borderId="18" xfId="2" applyFont="1" applyFill="1" applyBorder="1" applyAlignment="1">
      <alignment horizontal="center" vertical="center"/>
    </xf>
    <xf numFmtId="44" fontId="13" fillId="5" borderId="19" xfId="2" applyFont="1" applyFill="1" applyBorder="1" applyAlignment="1">
      <alignment horizontal="center" vertical="center"/>
    </xf>
    <xf numFmtId="0" fontId="11" fillId="10" borderId="11" xfId="0" applyFont="1" applyFill="1" applyBorder="1" applyAlignment="1">
      <alignment horizontal="center" vertical="center" wrapText="1"/>
    </xf>
    <xf numFmtId="0" fontId="15" fillId="5" borderId="0" xfId="0" applyFont="1" applyFill="1" applyBorder="1" applyAlignment="1">
      <alignment vertical="center" textRotation="255" wrapText="1"/>
    </xf>
    <xf numFmtId="0" fontId="15" fillId="11" borderId="0" xfId="0" applyFont="1" applyFill="1" applyBorder="1" applyAlignment="1">
      <alignment horizontal="center" vertical="center" textRotation="255" wrapText="1"/>
    </xf>
    <xf numFmtId="0" fontId="15" fillId="12" borderId="0" xfId="0" applyFont="1" applyFill="1" applyBorder="1" applyAlignment="1">
      <alignment horizontal="center" vertical="center" textRotation="255" wrapText="1"/>
    </xf>
    <xf numFmtId="0" fontId="15" fillId="13" borderId="0" xfId="0" applyFont="1" applyFill="1" applyBorder="1" applyAlignment="1">
      <alignment horizontal="center" vertical="center" textRotation="255" wrapText="1"/>
    </xf>
    <xf numFmtId="0" fontId="15" fillId="14" borderId="0" xfId="0" applyFont="1" applyFill="1" applyBorder="1" applyAlignment="1">
      <alignment horizontal="center" vertical="center" textRotation="255" wrapText="1"/>
    </xf>
    <xf numFmtId="0" fontId="15" fillId="15" borderId="0" xfId="0" applyFont="1" applyFill="1" applyBorder="1" applyAlignment="1">
      <alignment horizontal="center" vertical="center" textRotation="255" wrapText="1"/>
    </xf>
    <xf numFmtId="0" fontId="19" fillId="5" borderId="0" xfId="0" applyFont="1" applyFill="1" applyBorder="1" applyAlignment="1">
      <alignment vertical="center" wrapText="1"/>
    </xf>
    <xf numFmtId="0" fontId="21" fillId="5" borderId="0" xfId="0" applyFont="1" applyFill="1" applyBorder="1"/>
    <xf numFmtId="0" fontId="22" fillId="5" borderId="0" xfId="0" applyFont="1" applyFill="1" applyBorder="1"/>
    <xf numFmtId="49" fontId="29" fillId="5" borderId="0" xfId="0" applyNumberFormat="1" applyFont="1" applyFill="1" applyAlignment="1">
      <alignment horizontal="center" vertical="center"/>
    </xf>
    <xf numFmtId="0" fontId="32" fillId="5" borderId="0" xfId="0" applyFont="1" applyFill="1" applyAlignment="1">
      <alignment vertical="center"/>
    </xf>
    <xf numFmtId="0" fontId="13" fillId="5" borderId="12" xfId="0" applyFont="1" applyFill="1" applyBorder="1" applyAlignment="1">
      <alignment horizontal="left" vertical="center" wrapText="1"/>
    </xf>
    <xf numFmtId="0" fontId="13" fillId="5" borderId="0" xfId="0" applyFont="1" applyFill="1" applyBorder="1" applyAlignment="1">
      <alignment horizontal="left" vertical="center" wrapText="1"/>
    </xf>
    <xf numFmtId="0" fontId="13" fillId="12" borderId="0" xfId="0" applyFont="1" applyFill="1" applyBorder="1" applyAlignment="1">
      <alignment horizontal="center" vertical="center" wrapText="1"/>
    </xf>
    <xf numFmtId="0" fontId="23" fillId="5" borderId="12" xfId="0" applyFont="1" applyFill="1" applyBorder="1" applyAlignment="1">
      <alignment horizontal="left" vertical="center" wrapText="1"/>
    </xf>
    <xf numFmtId="1" fontId="11" fillId="5" borderId="0" xfId="0" applyNumberFormat="1" applyFont="1" applyFill="1" applyBorder="1" applyAlignment="1">
      <alignment horizontal="center" vertical="center" wrapText="1"/>
    </xf>
    <xf numFmtId="1" fontId="16" fillId="5" borderId="0" xfId="0" applyNumberFormat="1" applyFont="1" applyFill="1" applyBorder="1" applyAlignment="1">
      <alignment horizontal="center" vertical="center" wrapText="1"/>
    </xf>
    <xf numFmtId="164" fontId="16" fillId="5" borderId="13" xfId="0" applyNumberFormat="1" applyFont="1" applyFill="1" applyBorder="1" applyAlignment="1">
      <alignment horizontal="center" vertical="center" wrapText="1"/>
    </xf>
    <xf numFmtId="165" fontId="16" fillId="10" borderId="13" xfId="0" applyNumberFormat="1" applyFont="1" applyFill="1" applyBorder="1" applyAlignment="1">
      <alignment horizontal="center" vertical="center" wrapText="1"/>
    </xf>
    <xf numFmtId="165" fontId="16" fillId="5" borderId="13" xfId="0" applyNumberFormat="1" applyFont="1" applyFill="1" applyBorder="1" applyAlignment="1">
      <alignment vertical="center" wrapText="1"/>
    </xf>
    <xf numFmtId="165" fontId="16" fillId="5" borderId="13" xfId="0" applyNumberFormat="1" applyFont="1" applyFill="1" applyBorder="1" applyAlignment="1">
      <alignment horizontal="center" vertical="center" wrapText="1"/>
    </xf>
    <xf numFmtId="0" fontId="13" fillId="15" borderId="0" xfId="0" applyNumberFormat="1" applyFont="1" applyFill="1" applyBorder="1" applyAlignment="1">
      <alignment vertical="center"/>
    </xf>
    <xf numFmtId="0" fontId="13" fillId="19" borderId="0" xfId="0" applyNumberFormat="1" applyFont="1" applyFill="1" applyBorder="1" applyAlignment="1">
      <alignment horizontal="left" vertical="center"/>
    </xf>
    <xf numFmtId="3" fontId="13" fillId="19" borderId="0" xfId="0" applyNumberFormat="1" applyFont="1" applyFill="1" applyBorder="1" applyAlignment="1">
      <alignment horizontal="left" vertical="center"/>
    </xf>
    <xf numFmtId="0" fontId="13" fillId="19" borderId="0" xfId="0" applyFont="1" applyFill="1" applyBorder="1" applyAlignment="1">
      <alignment horizontal="left" vertical="center"/>
    </xf>
    <xf numFmtId="0" fontId="13" fillId="5" borderId="33" xfId="0" applyFont="1" applyFill="1" applyBorder="1" applyAlignment="1">
      <alignment vertical="center" wrapText="1"/>
    </xf>
    <xf numFmtId="165" fontId="11" fillId="10" borderId="16" xfId="0" applyNumberFormat="1" applyFont="1" applyFill="1" applyBorder="1" applyAlignment="1">
      <alignment horizontal="center" vertical="center" wrapText="1"/>
    </xf>
    <xf numFmtId="2" fontId="13" fillId="5" borderId="21" xfId="0" applyNumberFormat="1" applyFont="1" applyFill="1" applyBorder="1" applyAlignment="1">
      <alignment horizontal="center" vertical="center" wrapText="1"/>
    </xf>
    <xf numFmtId="165" fontId="16" fillId="10" borderId="16" xfId="0" applyNumberFormat="1" applyFont="1" applyFill="1" applyBorder="1" applyAlignment="1">
      <alignment horizontal="center" vertical="center" wrapText="1"/>
    </xf>
    <xf numFmtId="1" fontId="16" fillId="5" borderId="15" xfId="0" applyNumberFormat="1" applyFont="1" applyFill="1" applyBorder="1" applyAlignment="1">
      <alignment horizontal="center" vertical="center" wrapText="1"/>
    </xf>
    <xf numFmtId="0" fontId="13" fillId="5" borderId="14" xfId="0" applyFont="1" applyFill="1" applyBorder="1" applyAlignment="1">
      <alignment horizontal="left" vertical="center"/>
    </xf>
    <xf numFmtId="0" fontId="13" fillId="14" borderId="13" xfId="0" applyFont="1" applyFill="1" applyBorder="1" applyAlignment="1">
      <alignment vertical="center"/>
    </xf>
    <xf numFmtId="0" fontId="13" fillId="15" borderId="13" xfId="0" applyFont="1" applyFill="1" applyBorder="1" applyAlignment="1">
      <alignment vertical="center"/>
    </xf>
    <xf numFmtId="0" fontId="13" fillId="19" borderId="13" xfId="0" applyFont="1" applyFill="1" applyBorder="1" applyAlignment="1">
      <alignment vertical="center"/>
    </xf>
    <xf numFmtId="0" fontId="6" fillId="5" borderId="4" xfId="0" applyFont="1" applyFill="1" applyBorder="1" applyAlignment="1">
      <alignment vertical="center"/>
    </xf>
    <xf numFmtId="0" fontId="33" fillId="5" borderId="0" xfId="0" applyFont="1" applyFill="1" applyBorder="1" applyAlignment="1">
      <alignment vertical="center"/>
    </xf>
    <xf numFmtId="0" fontId="6" fillId="5" borderId="0" xfId="0" applyFont="1" applyFill="1" applyBorder="1" applyAlignment="1">
      <alignment vertical="center"/>
    </xf>
    <xf numFmtId="44" fontId="4" fillId="5" borderId="10" xfId="2" applyFont="1" applyFill="1" applyBorder="1" applyAlignment="1">
      <alignment horizontal="center" vertical="center" wrapText="1"/>
    </xf>
    <xf numFmtId="44" fontId="11" fillId="5" borderId="11" xfId="2" applyFont="1" applyFill="1" applyBorder="1" applyAlignment="1">
      <alignment horizontal="center" vertical="center" wrapText="1"/>
    </xf>
    <xf numFmtId="2" fontId="13" fillId="5" borderId="22" xfId="0" applyNumberFormat="1" applyFont="1" applyFill="1" applyBorder="1" applyAlignment="1">
      <alignment horizontal="center" vertical="center" wrapText="1"/>
    </xf>
    <xf numFmtId="2" fontId="16" fillId="5" borderId="11" xfId="0" applyNumberFormat="1" applyFont="1" applyFill="1" applyBorder="1" applyAlignment="1">
      <alignment horizontal="center" vertical="center" wrapText="1"/>
    </xf>
    <xf numFmtId="0" fontId="4" fillId="5" borderId="10" xfId="0" applyFont="1" applyFill="1" applyBorder="1" applyAlignment="1">
      <alignment horizontal="center" vertical="center" wrapText="1"/>
    </xf>
    <xf numFmtId="2" fontId="11" fillId="10" borderId="16" xfId="0" applyNumberFormat="1" applyFont="1" applyFill="1" applyBorder="1" applyAlignment="1">
      <alignment horizontal="center" vertical="center" wrapText="1"/>
    </xf>
    <xf numFmtId="0" fontId="13" fillId="5" borderId="30" xfId="0" applyFont="1" applyFill="1" applyBorder="1" applyAlignment="1">
      <alignment horizontal="left" vertical="center" wrapText="1"/>
    </xf>
    <xf numFmtId="0" fontId="13" fillId="12" borderId="12" xfId="0" applyFont="1" applyFill="1" applyBorder="1" applyAlignment="1">
      <alignment vertical="center" wrapText="1"/>
    </xf>
    <xf numFmtId="2" fontId="11" fillId="10" borderId="20" xfId="0" applyNumberFormat="1" applyFont="1" applyFill="1" applyBorder="1" applyAlignment="1">
      <alignment horizontal="center" vertical="center" wrapText="1"/>
    </xf>
    <xf numFmtId="2" fontId="11" fillId="10" borderId="30" xfId="0" applyNumberFormat="1" applyFont="1" applyFill="1" applyBorder="1" applyAlignment="1">
      <alignment horizontal="center" vertical="center" wrapText="1"/>
    </xf>
    <xf numFmtId="0" fontId="34" fillId="5" borderId="0" xfId="0" applyFont="1" applyFill="1" applyBorder="1" applyAlignment="1">
      <alignment vertical="center" textRotation="255" wrapText="1"/>
    </xf>
    <xf numFmtId="0" fontId="36" fillId="5" borderId="0" xfId="0" applyFont="1" applyFill="1" applyAlignment="1">
      <alignment vertical="center"/>
    </xf>
    <xf numFmtId="0" fontId="29" fillId="5" borderId="0" xfId="0" applyFont="1" applyFill="1" applyBorder="1" applyAlignment="1">
      <alignment vertical="center" textRotation="255" wrapText="1"/>
    </xf>
    <xf numFmtId="0" fontId="38" fillId="5" borderId="0" xfId="0" applyFont="1" applyFill="1" applyAlignment="1">
      <alignment vertical="center"/>
    </xf>
    <xf numFmtId="0" fontId="34" fillId="5" borderId="0" xfId="0" applyFont="1" applyFill="1" applyAlignment="1">
      <alignment vertical="center"/>
    </xf>
    <xf numFmtId="0" fontId="37" fillId="5" borderId="0" xfId="0" applyFont="1" applyFill="1" applyBorder="1" applyAlignment="1">
      <alignment vertical="center" textRotation="255" wrapText="1"/>
    </xf>
    <xf numFmtId="0" fontId="37" fillId="5" borderId="0" xfId="0" applyFont="1" applyFill="1" applyAlignment="1">
      <alignment vertical="center"/>
    </xf>
    <xf numFmtId="49" fontId="29" fillId="5" borderId="0" xfId="0" applyNumberFormat="1" applyFont="1" applyFill="1" applyBorder="1" applyAlignment="1">
      <alignment horizontal="center" wrapText="1"/>
    </xf>
    <xf numFmtId="0" fontId="4" fillId="3" borderId="19" xfId="0" applyFont="1" applyFill="1" applyBorder="1" applyAlignment="1">
      <alignment horizontal="center" vertical="center"/>
    </xf>
    <xf numFmtId="0" fontId="13" fillId="12" borderId="0" xfId="0" applyFont="1" applyFill="1" applyBorder="1" applyAlignment="1">
      <alignment horizontal="center" vertical="center" wrapText="1"/>
    </xf>
    <xf numFmtId="0" fontId="4" fillId="3" borderId="1" xfId="0" applyFont="1" applyFill="1" applyBorder="1" applyAlignment="1">
      <alignment horizontal="left" vertical="center" wrapText="1"/>
    </xf>
    <xf numFmtId="0" fontId="4" fillId="3" borderId="2" xfId="0" applyFont="1" applyFill="1" applyBorder="1" applyAlignment="1">
      <alignment horizontal="center" vertical="center" wrapText="1"/>
    </xf>
    <xf numFmtId="0" fontId="4" fillId="3" borderId="3" xfId="0" applyFont="1" applyFill="1" applyBorder="1" applyAlignment="1">
      <alignment horizontal="center" vertical="center" wrapText="1"/>
    </xf>
    <xf numFmtId="44" fontId="13" fillId="19" borderId="12" xfId="2" applyFont="1" applyFill="1" applyBorder="1" applyAlignment="1">
      <alignment horizontal="center" vertical="center"/>
    </xf>
    <xf numFmtId="44" fontId="13" fillId="19" borderId="13" xfId="2" applyFont="1" applyFill="1" applyBorder="1" applyAlignment="1">
      <alignment horizontal="center" vertical="center"/>
    </xf>
    <xf numFmtId="44" fontId="13" fillId="5" borderId="12" xfId="2" applyFont="1" applyFill="1" applyBorder="1" applyAlignment="1">
      <alignment horizontal="center" vertical="center"/>
    </xf>
    <xf numFmtId="44" fontId="13" fillId="5" borderId="13" xfId="2" applyFont="1" applyFill="1" applyBorder="1" applyAlignment="1">
      <alignment horizontal="center" vertical="center"/>
    </xf>
    <xf numFmtId="44" fontId="13" fillId="12" borderId="12" xfId="2" applyFont="1" applyFill="1" applyBorder="1" applyAlignment="1">
      <alignment horizontal="center" vertical="center"/>
    </xf>
    <xf numFmtId="44" fontId="13" fillId="12" borderId="13" xfId="2" applyFont="1" applyFill="1" applyBorder="1" applyAlignment="1">
      <alignment horizontal="center" vertical="center"/>
    </xf>
    <xf numFmtId="44" fontId="13" fillId="12" borderId="5" xfId="2" applyFont="1" applyFill="1" applyBorder="1" applyAlignment="1">
      <alignment horizontal="center" vertical="center"/>
    </xf>
    <xf numFmtId="44" fontId="13" fillId="5" borderId="5" xfId="2" applyFont="1" applyFill="1" applyBorder="1" applyAlignment="1">
      <alignment horizontal="center" vertical="center"/>
    </xf>
    <xf numFmtId="44" fontId="13" fillId="5" borderId="0" xfId="2" applyFont="1" applyFill="1" applyBorder="1" applyAlignment="1">
      <alignment horizontal="center" vertical="center"/>
    </xf>
    <xf numFmtId="0" fontId="4" fillId="3" borderId="17" xfId="0" applyFont="1" applyFill="1" applyBorder="1" applyAlignment="1">
      <alignment vertical="center"/>
    </xf>
    <xf numFmtId="44" fontId="16" fillId="4" borderId="0" xfId="2" applyFont="1" applyFill="1" applyBorder="1" applyAlignment="1">
      <alignment horizontal="center" vertical="center" wrapText="1"/>
    </xf>
    <xf numFmtId="44" fontId="13" fillId="15" borderId="0" xfId="2" applyFont="1" applyFill="1" applyBorder="1" applyAlignment="1">
      <alignment horizontal="center" vertical="center"/>
    </xf>
    <xf numFmtId="44" fontId="13" fillId="5" borderId="0" xfId="2" quotePrefix="1" applyFont="1" applyFill="1" applyAlignment="1">
      <alignment vertical="center"/>
    </xf>
    <xf numFmtId="44" fontId="32" fillId="5" borderId="0" xfId="0" applyNumberFormat="1" applyFont="1" applyFill="1" applyAlignment="1">
      <alignment vertical="center"/>
    </xf>
    <xf numFmtId="49" fontId="17" fillId="19" borderId="4" xfId="0" applyNumberFormat="1" applyFont="1" applyFill="1" applyBorder="1"/>
    <xf numFmtId="49" fontId="17" fillId="19" borderId="4" xfId="0" applyNumberFormat="1" applyFont="1" applyFill="1" applyBorder="1" applyAlignment="1"/>
    <xf numFmtId="0" fontId="17" fillId="19" borderId="0" xfId="0" applyFont="1" applyFill="1" applyBorder="1"/>
    <xf numFmtId="0" fontId="19" fillId="19" borderId="0" xfId="0" applyFont="1" applyFill="1" applyBorder="1"/>
    <xf numFmtId="0" fontId="30" fillId="19" borderId="0" xfId="0" applyFont="1" applyFill="1" applyBorder="1" applyAlignment="1"/>
    <xf numFmtId="0" fontId="31" fillId="19" borderId="0" xfId="0" applyFont="1" applyFill="1" applyBorder="1" applyAlignment="1"/>
    <xf numFmtId="0" fontId="19" fillId="5" borderId="0" xfId="0" applyFont="1" applyFill="1" applyAlignment="1">
      <alignment horizontal="center"/>
    </xf>
    <xf numFmtId="44" fontId="12" fillId="5" borderId="11" xfId="2" applyFont="1" applyFill="1" applyBorder="1" applyAlignment="1">
      <alignment horizontal="center" vertical="center" wrapText="1"/>
    </xf>
    <xf numFmtId="0" fontId="13" fillId="5" borderId="0" xfId="0" applyFont="1" applyFill="1"/>
    <xf numFmtId="0" fontId="11" fillId="5" borderId="0" xfId="0" applyFont="1" applyFill="1" applyAlignment="1">
      <alignment vertical="center"/>
    </xf>
    <xf numFmtId="0" fontId="42" fillId="5" borderId="0" xfId="0" applyFont="1" applyFill="1"/>
    <xf numFmtId="0" fontId="42" fillId="5" borderId="4" xfId="0" applyFont="1" applyFill="1" applyBorder="1"/>
    <xf numFmtId="0" fontId="42" fillId="5" borderId="5" xfId="0" applyFont="1" applyFill="1" applyBorder="1"/>
    <xf numFmtId="0" fontId="4" fillId="5" borderId="0" xfId="0" applyFont="1" applyFill="1"/>
    <xf numFmtId="49" fontId="11" fillId="23" borderId="7" xfId="0" applyNumberFormat="1" applyFont="1" applyFill="1" applyBorder="1" applyAlignment="1">
      <alignment horizontal="left"/>
    </xf>
    <xf numFmtId="49" fontId="25" fillId="23" borderId="6" xfId="0" applyNumberFormat="1" applyFont="1" applyFill="1" applyBorder="1" applyAlignment="1">
      <alignment horizontal="left"/>
    </xf>
    <xf numFmtId="44" fontId="13" fillId="23" borderId="7" xfId="0" applyNumberFormat="1" applyFont="1" applyFill="1" applyBorder="1"/>
    <xf numFmtId="44" fontId="13" fillId="23" borderId="8" xfId="0" applyNumberFormat="1" applyFont="1" applyFill="1" applyBorder="1"/>
    <xf numFmtId="49" fontId="5" fillId="3" borderId="18" xfId="2" applyNumberFormat="1" applyFont="1" applyFill="1" applyBorder="1" applyAlignment="1">
      <alignment horizontal="center" vertical="center" wrapText="1"/>
    </xf>
    <xf numFmtId="0" fontId="32" fillId="5" borderId="0" xfId="0" applyFont="1" applyFill="1"/>
    <xf numFmtId="49" fontId="45" fillId="22" borderId="17" xfId="2" applyNumberFormat="1" applyFont="1" applyFill="1" applyBorder="1" applyAlignment="1">
      <alignment horizontal="left"/>
    </xf>
    <xf numFmtId="49" fontId="45" fillId="22" borderId="18" xfId="2" applyNumberFormat="1" applyFont="1" applyFill="1" applyBorder="1" applyAlignment="1">
      <alignment horizontal="left"/>
    </xf>
    <xf numFmtId="44" fontId="29" fillId="22" borderId="18" xfId="0" applyNumberFormat="1" applyFont="1" applyFill="1" applyBorder="1"/>
    <xf numFmtId="44" fontId="29" fillId="22" borderId="19" xfId="0" applyNumberFormat="1" applyFont="1" applyFill="1" applyBorder="1"/>
    <xf numFmtId="49" fontId="25" fillId="19" borderId="17" xfId="0" applyNumberFormat="1" applyFont="1" applyFill="1" applyBorder="1" applyAlignment="1">
      <alignment horizontal="left"/>
    </xf>
    <xf numFmtId="49" fontId="11" fillId="19" borderId="18" xfId="0" applyNumberFormat="1" applyFont="1" applyFill="1" applyBorder="1" applyAlignment="1">
      <alignment horizontal="left"/>
    </xf>
    <xf numFmtId="44" fontId="13" fillId="19" borderId="18" xfId="0" applyNumberFormat="1" applyFont="1" applyFill="1" applyBorder="1"/>
    <xf numFmtId="44" fontId="13" fillId="19" borderId="19" xfId="0" applyNumberFormat="1" applyFont="1" applyFill="1" applyBorder="1"/>
    <xf numFmtId="0" fontId="43" fillId="3" borderId="1" xfId="0" applyFont="1" applyFill="1" applyBorder="1" applyAlignment="1">
      <alignment vertical="center"/>
    </xf>
    <xf numFmtId="0" fontId="4" fillId="3" borderId="2" xfId="0" applyFont="1" applyFill="1" applyBorder="1" applyAlignment="1">
      <alignment horizontal="center" vertical="center"/>
    </xf>
    <xf numFmtId="0" fontId="4" fillId="3" borderId="3" xfId="0" applyFont="1" applyFill="1" applyBorder="1" applyAlignment="1">
      <alignment vertical="center"/>
    </xf>
    <xf numFmtId="165" fontId="16" fillId="10" borderId="21" xfId="0" applyNumberFormat="1" applyFont="1" applyFill="1" applyBorder="1" applyAlignment="1">
      <alignment horizontal="center" vertical="center" wrapText="1"/>
    </xf>
    <xf numFmtId="165" fontId="16" fillId="10" borderId="20" xfId="0" applyNumberFormat="1" applyFont="1" applyFill="1" applyBorder="1" applyAlignment="1">
      <alignment horizontal="center" vertical="center" wrapText="1"/>
    </xf>
    <xf numFmtId="1" fontId="11" fillId="5" borderId="10" xfId="0" applyNumberFormat="1" applyFont="1" applyFill="1" applyBorder="1" applyAlignment="1">
      <alignment horizontal="center" vertical="center" wrapText="1"/>
    </xf>
    <xf numFmtId="165" fontId="16" fillId="5" borderId="11" xfId="0" applyNumberFormat="1" applyFont="1" applyFill="1" applyBorder="1" applyAlignment="1">
      <alignment vertical="center" wrapText="1"/>
    </xf>
    <xf numFmtId="0" fontId="13" fillId="5" borderId="4" xfId="0" applyFont="1" applyFill="1" applyBorder="1"/>
    <xf numFmtId="0" fontId="13" fillId="5" borderId="0" xfId="0" applyFont="1" applyFill="1" applyBorder="1"/>
    <xf numFmtId="0" fontId="13" fillId="5" borderId="5" xfId="0" applyFont="1" applyFill="1" applyBorder="1"/>
    <xf numFmtId="0" fontId="21" fillId="5" borderId="0" xfId="0" applyFont="1" applyFill="1" applyBorder="1" applyAlignment="1"/>
    <xf numFmtId="0" fontId="11" fillId="5" borderId="4" xfId="0" applyFont="1" applyFill="1" applyBorder="1" applyAlignment="1">
      <alignment vertical="center"/>
    </xf>
    <xf numFmtId="0" fontId="11" fillId="5" borderId="5" xfId="0" applyFont="1" applyFill="1" applyBorder="1" applyAlignment="1">
      <alignment vertical="center"/>
    </xf>
    <xf numFmtId="0" fontId="42" fillId="5" borderId="0" xfId="0" applyFont="1" applyFill="1" applyBorder="1"/>
    <xf numFmtId="0" fontId="4" fillId="5" borderId="4" xfId="0" applyFont="1" applyFill="1" applyBorder="1"/>
    <xf numFmtId="0" fontId="4" fillId="5" borderId="0" xfId="0" applyFont="1" applyFill="1" applyBorder="1"/>
    <xf numFmtId="0" fontId="4" fillId="5" borderId="5" xfId="0" applyFont="1" applyFill="1" applyBorder="1"/>
    <xf numFmtId="0" fontId="32" fillId="5" borderId="4" xfId="0" applyFont="1" applyFill="1" applyBorder="1"/>
    <xf numFmtId="0" fontId="32" fillId="5" borderId="0" xfId="0" applyFont="1" applyFill="1" applyBorder="1"/>
    <xf numFmtId="0" fontId="32" fillId="5" borderId="5" xfId="0" applyFont="1" applyFill="1" applyBorder="1"/>
    <xf numFmtId="0" fontId="42" fillId="5" borderId="7" xfId="0" applyFont="1" applyFill="1" applyBorder="1"/>
    <xf numFmtId="0" fontId="16" fillId="5" borderId="0" xfId="0" applyFont="1" applyFill="1" applyBorder="1" applyAlignment="1">
      <alignment horizontal="center" vertical="center"/>
    </xf>
    <xf numFmtId="0" fontId="16" fillId="5" borderId="7" xfId="0" applyFont="1" applyFill="1" applyBorder="1" applyAlignment="1">
      <alignment horizontal="center" vertical="center"/>
    </xf>
    <xf numFmtId="0" fontId="15" fillId="5" borderId="0" xfId="0" applyFont="1" applyFill="1" applyAlignment="1">
      <alignment horizontal="center" vertical="center"/>
    </xf>
    <xf numFmtId="0" fontId="15" fillId="5" borderId="0" xfId="0" applyFont="1" applyFill="1" applyBorder="1" applyAlignment="1">
      <alignment horizontal="center" vertical="center"/>
    </xf>
    <xf numFmtId="0" fontId="32" fillId="5" borderId="4" xfId="0" applyFont="1" applyFill="1" applyBorder="1" applyAlignment="1">
      <alignment horizontal="left" vertical="center" wrapText="1"/>
    </xf>
    <xf numFmtId="44" fontId="29" fillId="5" borderId="0" xfId="2" applyFont="1" applyFill="1" applyBorder="1" applyAlignment="1">
      <alignment horizontal="center" vertical="center"/>
    </xf>
    <xf numFmtId="44" fontId="29" fillId="10" borderId="0" xfId="2" applyFont="1" applyFill="1" applyBorder="1" applyAlignment="1">
      <alignment horizontal="center" vertical="center"/>
    </xf>
    <xf numFmtId="44" fontId="29" fillId="10" borderId="5" xfId="2" applyFont="1" applyFill="1" applyBorder="1" applyAlignment="1">
      <alignment horizontal="center" vertical="center"/>
    </xf>
    <xf numFmtId="0" fontId="29" fillId="5" borderId="0" xfId="0" applyFont="1" applyFill="1" applyAlignment="1">
      <alignment horizontal="center" vertical="center"/>
    </xf>
    <xf numFmtId="0" fontId="29" fillId="5" borderId="0" xfId="0" applyFont="1" applyFill="1" applyBorder="1" applyAlignment="1">
      <alignment horizontal="center" vertical="center"/>
    </xf>
    <xf numFmtId="44" fontId="29" fillId="10" borderId="5" xfId="2" applyNumberFormat="1" applyFont="1" applyFill="1" applyBorder="1" applyAlignment="1">
      <alignment horizontal="center" vertical="center"/>
    </xf>
    <xf numFmtId="0" fontId="32" fillId="5" borderId="1" xfId="0" applyFont="1" applyFill="1" applyBorder="1" applyAlignment="1">
      <alignment horizontal="left" vertical="center" wrapText="1"/>
    </xf>
    <xf numFmtId="44" fontId="29" fillId="5" borderId="2" xfId="2" applyFont="1" applyFill="1" applyBorder="1" applyAlignment="1">
      <alignment horizontal="center" vertical="center"/>
    </xf>
    <xf numFmtId="44" fontId="29" fillId="10" borderId="2" xfId="2" applyFont="1" applyFill="1" applyBorder="1" applyAlignment="1">
      <alignment horizontal="center" vertical="center"/>
    </xf>
    <xf numFmtId="44" fontId="29" fillId="10" borderId="3" xfId="2" applyFont="1" applyFill="1" applyBorder="1" applyAlignment="1">
      <alignment horizontal="center" vertical="center"/>
    </xf>
    <xf numFmtId="44" fontId="29" fillId="10" borderId="7" xfId="2" applyFont="1" applyFill="1" applyBorder="1" applyAlignment="1">
      <alignment horizontal="center" vertical="center"/>
    </xf>
    <xf numFmtId="44" fontId="29" fillId="10" borderId="8" xfId="2" applyFont="1" applyFill="1" applyBorder="1" applyAlignment="1">
      <alignment horizontal="center" vertical="center"/>
    </xf>
    <xf numFmtId="49" fontId="5" fillId="5" borderId="0" xfId="0" applyNumberFormat="1" applyFont="1" applyFill="1" applyBorder="1" applyAlignment="1">
      <alignment horizontal="center" vertical="center" wrapText="1"/>
    </xf>
    <xf numFmtId="49" fontId="5" fillId="5" borderId="0" xfId="0" applyNumberFormat="1" applyFont="1" applyFill="1" applyBorder="1" applyAlignment="1">
      <alignment horizontal="center" vertical="center"/>
    </xf>
    <xf numFmtId="44" fontId="5" fillId="5" borderId="0" xfId="2" applyFont="1" applyFill="1" applyBorder="1" applyAlignment="1">
      <alignment horizontal="center" vertical="center"/>
    </xf>
    <xf numFmtId="49" fontId="15" fillId="5" borderId="0" xfId="0" applyNumberFormat="1" applyFont="1" applyFill="1" applyBorder="1" applyAlignment="1">
      <alignment horizontal="center" vertical="center"/>
    </xf>
    <xf numFmtId="0" fontId="29" fillId="5" borderId="0" xfId="0" applyFont="1" applyFill="1" applyAlignment="1">
      <alignment horizontal="center" wrapText="1"/>
    </xf>
    <xf numFmtId="49" fontId="5" fillId="8" borderId="6" xfId="0" applyNumberFormat="1" applyFont="1" applyFill="1" applyBorder="1" applyAlignment="1">
      <alignment horizontal="center" vertical="center" wrapText="1"/>
    </xf>
    <xf numFmtId="49" fontId="5" fillId="8" borderId="7" xfId="0" applyNumberFormat="1" applyFont="1" applyFill="1" applyBorder="1" applyAlignment="1">
      <alignment horizontal="center" vertical="center" wrapText="1"/>
    </xf>
    <xf numFmtId="2" fontId="5" fillId="8" borderId="7" xfId="0" applyNumberFormat="1" applyFont="1" applyFill="1" applyBorder="1" applyAlignment="1">
      <alignment horizontal="center" vertical="center" wrapText="1"/>
    </xf>
    <xf numFmtId="44" fontId="5" fillId="8" borderId="7" xfId="2" applyFont="1" applyFill="1" applyBorder="1" applyAlignment="1">
      <alignment horizontal="center" vertical="center" wrapText="1"/>
    </xf>
    <xf numFmtId="49" fontId="5" fillId="8" borderId="7" xfId="3" applyNumberFormat="1" applyFont="1" applyFill="1" applyBorder="1" applyAlignment="1">
      <alignment horizontal="center" vertical="center" wrapText="1"/>
    </xf>
    <xf numFmtId="44" fontId="5" fillId="8" borderId="8" xfId="2" applyFont="1" applyFill="1" applyBorder="1" applyAlignment="1">
      <alignment horizontal="center" vertical="center" wrapText="1"/>
    </xf>
    <xf numFmtId="49" fontId="29" fillId="5" borderId="0" xfId="0" applyNumberFormat="1" applyFont="1" applyFill="1" applyBorder="1" applyAlignment="1">
      <alignment horizontal="center" vertical="center" wrapText="1"/>
    </xf>
    <xf numFmtId="49" fontId="29" fillId="5" borderId="0" xfId="0" applyNumberFormat="1" applyFont="1" applyFill="1" applyBorder="1" applyAlignment="1">
      <alignment horizontal="center" vertical="center"/>
    </xf>
    <xf numFmtId="0" fontId="29" fillId="5" borderId="0" xfId="0" applyFont="1" applyFill="1" applyBorder="1" applyAlignment="1">
      <alignment horizontal="center" wrapText="1"/>
    </xf>
    <xf numFmtId="0" fontId="29" fillId="5" borderId="0" xfId="0" applyFont="1" applyFill="1" applyBorder="1" applyAlignment="1">
      <alignment horizontal="center" vertical="center" wrapText="1"/>
    </xf>
    <xf numFmtId="2" fontId="29" fillId="5" borderId="0" xfId="0" applyNumberFormat="1" applyFont="1" applyFill="1" applyBorder="1" applyAlignment="1">
      <alignment horizontal="center" vertical="center" wrapText="1"/>
    </xf>
    <xf numFmtId="164" fontId="29" fillId="5" borderId="0" xfId="0" applyNumberFormat="1" applyFont="1" applyFill="1" applyBorder="1" applyAlignment="1">
      <alignment horizontal="center" vertical="center" wrapText="1"/>
    </xf>
    <xf numFmtId="164" fontId="29" fillId="5" borderId="0" xfId="0" applyNumberFormat="1" applyFont="1" applyFill="1" applyBorder="1" applyAlignment="1">
      <alignment horizontal="center" wrapText="1"/>
    </xf>
    <xf numFmtId="49" fontId="5" fillId="8" borderId="17" xfId="0" applyNumberFormat="1" applyFont="1" applyFill="1" applyBorder="1" applyAlignment="1">
      <alignment vertical="center" wrapText="1"/>
    </xf>
    <xf numFmtId="49" fontId="5" fillId="8" borderId="18" xfId="0" applyNumberFormat="1" applyFont="1" applyFill="1" applyBorder="1" applyAlignment="1">
      <alignment horizontal="center" vertical="center" wrapText="1"/>
    </xf>
    <xf numFmtId="44" fontId="5" fillId="8" borderId="18" xfId="2" applyNumberFormat="1" applyFont="1" applyFill="1" applyBorder="1" applyAlignment="1">
      <alignment horizontal="center" vertical="center" wrapText="1"/>
    </xf>
    <xf numFmtId="49" fontId="5" fillId="8" borderId="18" xfId="3" applyNumberFormat="1" applyFont="1" applyFill="1" applyBorder="1" applyAlignment="1">
      <alignment horizontal="center" vertical="center" wrapText="1"/>
    </xf>
    <xf numFmtId="49" fontId="5" fillId="8" borderId="18" xfId="2" applyNumberFormat="1" applyFont="1" applyFill="1" applyBorder="1" applyAlignment="1">
      <alignment horizontal="center" vertical="center" wrapText="1"/>
    </xf>
    <xf numFmtId="44" fontId="5" fillId="8" borderId="19" xfId="2" applyNumberFormat="1" applyFont="1" applyFill="1" applyBorder="1" applyAlignment="1">
      <alignment horizontal="center" vertical="center" wrapText="1"/>
    </xf>
    <xf numFmtId="49" fontId="5" fillId="8" borderId="1" xfId="0" applyNumberFormat="1" applyFont="1" applyFill="1" applyBorder="1" applyAlignment="1">
      <alignment horizontal="center" vertical="center" wrapText="1"/>
    </xf>
    <xf numFmtId="2" fontId="5" fillId="8" borderId="2" xfId="0" applyNumberFormat="1" applyFont="1" applyFill="1" applyBorder="1" applyAlignment="1">
      <alignment horizontal="center" vertical="center" wrapText="1"/>
    </xf>
    <xf numFmtId="44" fontId="5" fillId="8" borderId="2" xfId="2" applyFont="1" applyFill="1" applyBorder="1" applyAlignment="1">
      <alignment horizontal="center" vertical="center" wrapText="1"/>
    </xf>
    <xf numFmtId="49" fontId="5" fillId="8" borderId="2" xfId="0" applyNumberFormat="1" applyFont="1" applyFill="1" applyBorder="1" applyAlignment="1">
      <alignment horizontal="center" vertical="center" wrapText="1"/>
    </xf>
    <xf numFmtId="49" fontId="5" fillId="8" borderId="2" xfId="3" applyNumberFormat="1" applyFont="1" applyFill="1" applyBorder="1" applyAlignment="1">
      <alignment horizontal="center" vertical="center" wrapText="1"/>
    </xf>
    <xf numFmtId="0" fontId="29" fillId="5" borderId="0" xfId="0" applyFont="1" applyFill="1" applyAlignment="1">
      <alignment horizontal="left" vertical="center" wrapText="1"/>
    </xf>
    <xf numFmtId="2" fontId="29" fillId="5" borderId="0" xfId="0" applyNumberFormat="1" applyFont="1" applyFill="1" applyAlignment="1">
      <alignment horizontal="center" vertical="center"/>
    </xf>
    <xf numFmtId="44" fontId="29" fillId="5" borderId="0" xfId="2" applyFont="1" applyFill="1" applyAlignment="1">
      <alignment horizontal="center" vertical="center"/>
    </xf>
    <xf numFmtId="9" fontId="29" fillId="5" borderId="0" xfId="3" applyFont="1" applyFill="1" applyAlignment="1">
      <alignment horizontal="center" vertical="center"/>
    </xf>
    <xf numFmtId="10" fontId="15" fillId="5" borderId="0" xfId="0" applyNumberFormat="1" applyFont="1" applyFill="1" applyAlignment="1">
      <alignment horizontal="center" vertical="center"/>
    </xf>
    <xf numFmtId="49" fontId="29" fillId="5" borderId="2" xfId="0" applyNumberFormat="1" applyFont="1" applyFill="1" applyBorder="1" applyAlignment="1">
      <alignment horizontal="center" vertical="center"/>
    </xf>
    <xf numFmtId="0" fontId="29" fillId="5" borderId="0" xfId="0" quotePrefix="1" applyFont="1" applyFill="1" applyBorder="1" applyAlignment="1">
      <alignment horizontal="center" vertical="center"/>
    </xf>
    <xf numFmtId="0" fontId="29" fillId="5" borderId="0" xfId="0" applyFont="1" applyFill="1" applyAlignment="1">
      <alignment horizontal="center" vertical="center" wrapText="1"/>
    </xf>
    <xf numFmtId="0" fontId="15" fillId="5" borderId="1" xfId="0" applyFont="1" applyFill="1" applyBorder="1" applyAlignment="1">
      <alignment vertical="center" wrapText="1"/>
    </xf>
    <xf numFmtId="2" fontId="15" fillId="5" borderId="2" xfId="0" applyNumberFormat="1" applyFont="1" applyFill="1" applyBorder="1" applyAlignment="1">
      <alignment horizontal="center" vertical="center" wrapText="1"/>
    </xf>
    <xf numFmtId="44" fontId="15" fillId="5" borderId="2" xfId="0" applyNumberFormat="1" applyFont="1" applyFill="1" applyBorder="1" applyAlignment="1">
      <alignment horizontal="center" vertical="center" wrapText="1"/>
    </xf>
    <xf numFmtId="0" fontId="15" fillId="5" borderId="2" xfId="0" applyFont="1" applyFill="1" applyBorder="1" applyAlignment="1">
      <alignment horizontal="center" vertical="center" wrapText="1"/>
    </xf>
    <xf numFmtId="9" fontId="15" fillId="5" borderId="2" xfId="3" applyFont="1" applyFill="1" applyBorder="1" applyAlignment="1">
      <alignment horizontal="center" vertical="center" wrapText="1"/>
    </xf>
    <xf numFmtId="44" fontId="15" fillId="5" borderId="3" xfId="0" applyNumberFormat="1" applyFont="1" applyFill="1" applyBorder="1" applyAlignment="1">
      <alignment horizontal="center" vertical="center" wrapText="1"/>
    </xf>
    <xf numFmtId="0" fontId="15" fillId="5" borderId="6" xfId="0" applyFont="1" applyFill="1" applyBorder="1" applyAlignment="1">
      <alignment vertical="center" wrapText="1"/>
    </xf>
    <xf numFmtId="1" fontId="15" fillId="5" borderId="7" xfId="0" applyNumberFormat="1" applyFont="1" applyFill="1" applyBorder="1" applyAlignment="1">
      <alignment horizontal="center" vertical="center" wrapText="1"/>
    </xf>
    <xf numFmtId="44" fontId="15" fillId="5" borderId="7" xfId="0" applyNumberFormat="1" applyFont="1" applyFill="1" applyBorder="1" applyAlignment="1">
      <alignment horizontal="center" vertical="center" wrapText="1"/>
    </xf>
    <xf numFmtId="0" fontId="15" fillId="5" borderId="7" xfId="0" applyFont="1" applyFill="1" applyBorder="1" applyAlignment="1">
      <alignment horizontal="center" vertical="center" wrapText="1"/>
    </xf>
    <xf numFmtId="9" fontId="15" fillId="5" borderId="7" xfId="3" applyFont="1" applyFill="1" applyBorder="1" applyAlignment="1">
      <alignment horizontal="center" vertical="center" wrapText="1"/>
    </xf>
    <xf numFmtId="44" fontId="15" fillId="5" borderId="8" xfId="0" applyNumberFormat="1" applyFont="1" applyFill="1" applyBorder="1" applyAlignment="1">
      <alignment horizontal="center" vertical="center" wrapText="1"/>
    </xf>
    <xf numFmtId="49" fontId="47" fillId="5" borderId="0" xfId="0" applyNumberFormat="1" applyFont="1" applyFill="1" applyAlignment="1">
      <alignment horizontal="center" vertical="center" textRotation="255"/>
    </xf>
    <xf numFmtId="0" fontId="47" fillId="5" borderId="0" xfId="0" applyFont="1" applyFill="1" applyAlignment="1">
      <alignment horizontal="center" vertical="center" textRotation="255"/>
    </xf>
    <xf numFmtId="0" fontId="47" fillId="5" borderId="0" xfId="0" applyFont="1" applyFill="1" applyAlignment="1">
      <alignment horizontal="center" vertical="center" textRotation="255" wrapText="1"/>
    </xf>
    <xf numFmtId="0" fontId="4" fillId="5" borderId="0" xfId="0" applyFont="1" applyFill="1" applyBorder="1" applyAlignment="1">
      <alignment horizontal="center" vertical="center"/>
    </xf>
    <xf numFmtId="0" fontId="43" fillId="3" borderId="0" xfId="0" applyFont="1" applyFill="1" applyBorder="1" applyAlignment="1">
      <alignment horizontal="center" vertical="center" wrapText="1"/>
    </xf>
    <xf numFmtId="2" fontId="4" fillId="5" borderId="0" xfId="0" applyNumberFormat="1" applyFont="1" applyFill="1" applyBorder="1" applyAlignment="1">
      <alignment horizontal="center" vertical="center"/>
    </xf>
    <xf numFmtId="2" fontId="49" fillId="23" borderId="36" xfId="0" applyNumberFormat="1" applyFont="1" applyFill="1" applyBorder="1" applyAlignment="1">
      <alignment horizontal="center" vertical="center"/>
    </xf>
    <xf numFmtId="2" fontId="16" fillId="23" borderId="36" xfId="0" applyNumberFormat="1" applyFont="1" applyFill="1" applyBorder="1" applyAlignment="1">
      <alignment horizontal="center" vertical="center"/>
    </xf>
    <xf numFmtId="164" fontId="16" fillId="23" borderId="36" xfId="0" applyNumberFormat="1" applyFont="1" applyFill="1" applyBorder="1" applyAlignment="1">
      <alignment horizontal="center" vertical="center"/>
    </xf>
    <xf numFmtId="0" fontId="6" fillId="5" borderId="0" xfId="0" applyFont="1" applyFill="1" applyBorder="1" applyAlignment="1">
      <alignment horizontal="left" vertical="center"/>
    </xf>
    <xf numFmtId="0" fontId="6" fillId="5" borderId="0" xfId="0" applyFont="1" applyFill="1" applyBorder="1" applyAlignment="1">
      <alignment horizontal="center" vertical="center"/>
    </xf>
    <xf numFmtId="0" fontId="6" fillId="5" borderId="4" xfId="0" applyFont="1" applyFill="1" applyBorder="1" applyAlignment="1">
      <alignment horizontal="left" vertical="center"/>
    </xf>
    <xf numFmtId="0" fontId="12" fillId="5" borderId="0" xfId="0" applyFont="1" applyFill="1" applyBorder="1" applyAlignment="1">
      <alignment horizontal="left" vertical="center"/>
    </xf>
    <xf numFmtId="0" fontId="6" fillId="5" borderId="5" xfId="0" applyFont="1" applyFill="1" applyBorder="1" applyAlignment="1">
      <alignment horizontal="left" vertical="center"/>
    </xf>
    <xf numFmtId="0" fontId="6" fillId="5" borderId="1" xfId="0" applyFont="1" applyFill="1" applyBorder="1" applyAlignment="1">
      <alignment horizontal="left" vertical="center"/>
    </xf>
    <xf numFmtId="0" fontId="6" fillId="5" borderId="2" xfId="0" applyFont="1" applyFill="1" applyBorder="1" applyAlignment="1">
      <alignment horizontal="left" vertical="center"/>
    </xf>
    <xf numFmtId="0" fontId="6" fillId="5" borderId="2" xfId="0" applyFont="1" applyFill="1" applyBorder="1" applyAlignment="1">
      <alignment horizontal="center" vertical="center"/>
    </xf>
    <xf numFmtId="0" fontId="6" fillId="5" borderId="3" xfId="0" applyFont="1" applyFill="1" applyBorder="1" applyAlignment="1">
      <alignment horizontal="left" vertical="center"/>
    </xf>
    <xf numFmtId="0" fontId="43" fillId="3" borderId="0" xfId="0" applyFont="1" applyFill="1" applyBorder="1" applyAlignment="1">
      <alignment horizontal="left" vertical="center" wrapText="1"/>
    </xf>
    <xf numFmtId="0" fontId="43" fillId="3" borderId="9" xfId="0" applyFont="1" applyFill="1" applyBorder="1" applyAlignment="1">
      <alignment horizontal="left" vertical="center" wrapText="1"/>
    </xf>
    <xf numFmtId="0" fontId="33" fillId="5" borderId="0" xfId="0" applyFont="1" applyFill="1" applyBorder="1" applyAlignment="1">
      <alignment horizontal="left" vertical="center"/>
    </xf>
    <xf numFmtId="0" fontId="6" fillId="23" borderId="12" xfId="0" applyFont="1" applyFill="1" applyBorder="1" applyAlignment="1">
      <alignment horizontal="left" vertical="center"/>
    </xf>
    <xf numFmtId="0" fontId="50" fillId="5" borderId="0" xfId="0" applyFont="1" applyFill="1" applyBorder="1" applyAlignment="1">
      <alignment horizontal="left" vertical="center"/>
    </xf>
    <xf numFmtId="0" fontId="6" fillId="23" borderId="14" xfId="0" applyFont="1" applyFill="1" applyBorder="1" applyAlignment="1">
      <alignment horizontal="left" vertical="center"/>
    </xf>
    <xf numFmtId="0" fontId="43" fillId="3" borderId="10" xfId="0" applyFont="1" applyFill="1" applyBorder="1" applyAlignment="1">
      <alignment horizontal="center" vertical="center" wrapText="1"/>
    </xf>
    <xf numFmtId="0" fontId="43" fillId="3" borderId="11" xfId="0" applyFont="1" applyFill="1" applyBorder="1" applyAlignment="1">
      <alignment horizontal="center" vertical="center" wrapText="1"/>
    </xf>
    <xf numFmtId="0" fontId="6" fillId="5" borderId="10" xfId="0" applyFont="1" applyFill="1" applyBorder="1" applyAlignment="1">
      <alignment horizontal="left" vertical="center"/>
    </xf>
    <xf numFmtId="0" fontId="6" fillId="23" borderId="9" xfId="0" applyFont="1" applyFill="1" applyBorder="1" applyAlignment="1">
      <alignment horizontal="left" vertical="center"/>
    </xf>
    <xf numFmtId="0" fontId="6" fillId="5" borderId="36" xfId="0" applyFont="1" applyFill="1" applyBorder="1" applyAlignment="1">
      <alignment horizontal="left" vertical="center"/>
    </xf>
    <xf numFmtId="0" fontId="6" fillId="5" borderId="6" xfId="0" applyFont="1" applyFill="1" applyBorder="1" applyAlignment="1">
      <alignment horizontal="left" vertical="center"/>
    </xf>
    <xf numFmtId="0" fontId="6" fillId="5" borderId="7" xfId="0" applyFont="1" applyFill="1" applyBorder="1" applyAlignment="1">
      <alignment horizontal="left" vertical="center"/>
    </xf>
    <xf numFmtId="165" fontId="16" fillId="5" borderId="7" xfId="0" applyNumberFormat="1" applyFont="1" applyFill="1" applyBorder="1" applyAlignment="1">
      <alignment horizontal="center" vertical="center"/>
    </xf>
    <xf numFmtId="0" fontId="6" fillId="5" borderId="8" xfId="0" applyFont="1" applyFill="1" applyBorder="1" applyAlignment="1">
      <alignment horizontal="left" vertical="center"/>
    </xf>
    <xf numFmtId="164" fontId="16" fillId="23" borderId="21" xfId="0" applyNumberFormat="1" applyFont="1" applyFill="1" applyBorder="1" applyAlignment="1">
      <alignment horizontal="center" vertical="center"/>
    </xf>
    <xf numFmtId="0" fontId="51" fillId="5" borderId="0" xfId="0" applyFont="1" applyFill="1" applyBorder="1" applyAlignment="1">
      <alignment horizontal="left" vertical="center"/>
    </xf>
    <xf numFmtId="0" fontId="50" fillId="4" borderId="0" xfId="0" applyFont="1" applyFill="1" applyBorder="1" applyAlignment="1">
      <alignment horizontal="left" vertical="center"/>
    </xf>
    <xf numFmtId="2" fontId="4" fillId="4" borderId="0" xfId="0" applyNumberFormat="1" applyFont="1" applyFill="1" applyBorder="1" applyAlignment="1">
      <alignment horizontal="center" vertical="center"/>
    </xf>
    <xf numFmtId="0" fontId="6" fillId="4" borderId="0" xfId="0" applyFont="1" applyFill="1" applyBorder="1" applyAlignment="1">
      <alignment horizontal="left" vertical="center"/>
    </xf>
    <xf numFmtId="0" fontId="33" fillId="4" borderId="0" xfId="0" applyFont="1" applyFill="1" applyBorder="1" applyAlignment="1">
      <alignment horizontal="left" vertical="center"/>
    </xf>
    <xf numFmtId="0" fontId="6" fillId="4" borderId="0" xfId="0" applyFont="1" applyFill="1" applyBorder="1" applyAlignment="1">
      <alignment horizontal="left" vertical="center" wrapText="1"/>
    </xf>
    <xf numFmtId="0" fontId="14" fillId="5" borderId="0" xfId="4" applyFont="1" applyFill="1" applyBorder="1"/>
    <xf numFmtId="0" fontId="14" fillId="5" borderId="5" xfId="4" applyFont="1" applyFill="1" applyBorder="1"/>
    <xf numFmtId="0" fontId="14" fillId="5" borderId="0" xfId="4" applyFont="1" applyFill="1" applyBorder="1" applyAlignment="1"/>
    <xf numFmtId="0" fontId="14" fillId="5" borderId="0" xfId="4" applyFont="1" applyFill="1" applyBorder="1" applyAlignment="1" applyProtection="1">
      <alignment horizontal="left"/>
      <protection locked="0"/>
    </xf>
    <xf numFmtId="0" fontId="14" fillId="5" borderId="7" xfId="4" applyFont="1" applyFill="1" applyBorder="1" applyAlignment="1"/>
    <xf numFmtId="0" fontId="14" fillId="5" borderId="8" xfId="4" applyFont="1" applyFill="1" applyBorder="1"/>
    <xf numFmtId="9" fontId="32" fillId="5" borderId="0" xfId="3" applyFont="1" applyFill="1" applyBorder="1"/>
    <xf numFmtId="165" fontId="11" fillId="10" borderId="21" xfId="0" applyNumberFormat="1" applyFont="1" applyFill="1" applyBorder="1" applyAlignment="1">
      <alignment horizontal="center" vertical="center" wrapText="1"/>
    </xf>
    <xf numFmtId="0" fontId="13" fillId="4" borderId="5" xfId="0" applyFont="1" applyFill="1" applyBorder="1" applyAlignment="1">
      <alignment horizontal="center"/>
    </xf>
    <xf numFmtId="44" fontId="29" fillId="22" borderId="0" xfId="0" applyNumberFormat="1" applyFont="1" applyFill="1" applyBorder="1" applyAlignment="1">
      <alignment horizontal="center"/>
    </xf>
    <xf numFmtId="9" fontId="13" fillId="4" borderId="8" xfId="3" applyFont="1" applyFill="1" applyBorder="1" applyAlignment="1">
      <alignment horizontal="center" vertical="center"/>
    </xf>
    <xf numFmtId="2" fontId="13" fillId="5" borderId="0" xfId="0" applyNumberFormat="1" applyFont="1" applyFill="1" applyBorder="1" applyAlignment="1">
      <alignment horizontal="center"/>
    </xf>
    <xf numFmtId="0" fontId="13" fillId="5" borderId="0" xfId="0" applyFont="1" applyFill="1" applyBorder="1" applyAlignment="1">
      <alignment horizontal="center"/>
    </xf>
    <xf numFmtId="44" fontId="13" fillId="5" borderId="5" xfId="0" applyNumberFormat="1" applyFont="1" applyFill="1" applyBorder="1"/>
    <xf numFmtId="0" fontId="23" fillId="5" borderId="4" xfId="0" applyFont="1" applyFill="1" applyBorder="1"/>
    <xf numFmtId="1" fontId="13" fillId="5" borderId="0" xfId="0" applyNumberFormat="1" applyFont="1" applyFill="1" applyBorder="1" applyAlignment="1">
      <alignment horizontal="center"/>
    </xf>
    <xf numFmtId="0" fontId="13" fillId="5" borderId="6" xfId="0" applyFont="1" applyFill="1" applyBorder="1"/>
    <xf numFmtId="2" fontId="13" fillId="5" borderId="7" xfId="0" applyNumberFormat="1" applyFont="1" applyFill="1" applyBorder="1" applyAlignment="1">
      <alignment horizontal="center"/>
    </xf>
    <xf numFmtId="0" fontId="13" fillId="5" borderId="7" xfId="0" applyFont="1" applyFill="1" applyBorder="1" applyAlignment="1">
      <alignment horizontal="center"/>
    </xf>
    <xf numFmtId="44" fontId="13" fillId="5" borderId="8" xfId="0" applyNumberFormat="1" applyFont="1" applyFill="1" applyBorder="1"/>
    <xf numFmtId="44" fontId="11" fillId="19" borderId="19" xfId="0" applyNumberFormat="1" applyFont="1" applyFill="1" applyBorder="1"/>
    <xf numFmtId="44" fontId="11" fillId="23" borderId="19" xfId="0" applyNumberFormat="1" applyFont="1" applyFill="1" applyBorder="1"/>
    <xf numFmtId="44" fontId="56" fillId="22" borderId="19" xfId="0" applyNumberFormat="1" applyFont="1" applyFill="1" applyBorder="1"/>
    <xf numFmtId="0" fontId="13" fillId="23" borderId="4" xfId="0" applyFont="1" applyFill="1" applyBorder="1"/>
    <xf numFmtId="0" fontId="13" fillId="23" borderId="0" xfId="0" applyFont="1" applyFill="1" applyBorder="1" applyAlignment="1">
      <alignment horizontal="center"/>
    </xf>
    <xf numFmtId="44" fontId="13" fillId="23" borderId="5" xfId="2" applyFont="1" applyFill="1" applyBorder="1"/>
    <xf numFmtId="0" fontId="19" fillId="23" borderId="0" xfId="0" applyFont="1" applyFill="1" applyBorder="1" applyAlignment="1">
      <alignment horizontal="justify" vertical="center" wrapText="1"/>
    </xf>
    <xf numFmtId="0" fontId="19" fillId="23" borderId="5" xfId="0" applyFont="1" applyFill="1" applyBorder="1" applyAlignment="1">
      <alignment horizontal="justify" vertical="center" wrapText="1"/>
    </xf>
    <xf numFmtId="0" fontId="19" fillId="5" borderId="14" xfId="0" applyFont="1" applyFill="1" applyBorder="1" applyAlignment="1">
      <alignment horizontal="left"/>
    </xf>
    <xf numFmtId="0" fontId="19" fillId="5" borderId="15" xfId="0" applyFont="1" applyFill="1" applyBorder="1" applyAlignment="1">
      <alignment horizontal="left"/>
    </xf>
    <xf numFmtId="9" fontId="19" fillId="5" borderId="15" xfId="3" applyFont="1" applyFill="1" applyBorder="1" applyAlignment="1">
      <alignment horizontal="center"/>
    </xf>
    <xf numFmtId="9" fontId="19" fillId="5" borderId="16" xfId="3" applyFont="1" applyFill="1" applyBorder="1" applyAlignment="1">
      <alignment horizontal="center"/>
    </xf>
    <xf numFmtId="0" fontId="19" fillId="5" borderId="12" xfId="0" applyFont="1" applyFill="1" applyBorder="1" applyAlignment="1">
      <alignment horizontal="left"/>
    </xf>
    <xf numFmtId="0" fontId="19" fillId="5" borderId="0" xfId="0" applyFont="1" applyFill="1" applyBorder="1" applyAlignment="1">
      <alignment horizontal="left"/>
    </xf>
    <xf numFmtId="9" fontId="19" fillId="5" borderId="0" xfId="3" applyFont="1" applyFill="1" applyBorder="1" applyAlignment="1">
      <alignment horizontal="center"/>
    </xf>
    <xf numFmtId="9" fontId="19" fillId="5" borderId="13" xfId="3" applyFont="1" applyFill="1" applyBorder="1" applyAlignment="1">
      <alignment horizontal="center"/>
    </xf>
    <xf numFmtId="0" fontId="19" fillId="5" borderId="0" xfId="0" applyFont="1" applyFill="1" applyBorder="1" applyAlignment="1">
      <alignment horizontal="center"/>
    </xf>
    <xf numFmtId="165" fontId="21" fillId="5" borderId="0" xfId="1" applyNumberFormat="1" applyFont="1" applyFill="1" applyBorder="1" applyAlignment="1">
      <alignment horizontal="center"/>
    </xf>
    <xf numFmtId="44" fontId="19" fillId="5" borderId="0" xfId="2" applyFont="1" applyFill="1" applyBorder="1" applyAlignment="1">
      <alignment horizontal="center"/>
    </xf>
    <xf numFmtId="0" fontId="19" fillId="5" borderId="0" xfId="0" applyFont="1" applyFill="1" applyBorder="1" applyAlignment="1">
      <alignment horizontal="justify" vertical="center"/>
    </xf>
    <xf numFmtId="0" fontId="0" fillId="5" borderId="0" xfId="0" applyFill="1" applyBorder="1" applyAlignment="1">
      <alignment horizontal="justify" vertical="center"/>
    </xf>
    <xf numFmtId="0" fontId="21" fillId="23" borderId="1" xfId="0" applyFont="1" applyFill="1" applyBorder="1" applyAlignment="1">
      <alignment horizontal="left" vertical="center"/>
    </xf>
    <xf numFmtId="0" fontId="19" fillId="23" borderId="2" xfId="0" applyFont="1" applyFill="1" applyBorder="1" applyAlignment="1">
      <alignment horizontal="left" vertical="center"/>
    </xf>
    <xf numFmtId="0" fontId="19" fillId="23" borderId="3" xfId="0" applyFont="1" applyFill="1" applyBorder="1" applyAlignment="1">
      <alignment horizontal="left" vertical="center"/>
    </xf>
    <xf numFmtId="0" fontId="53" fillId="23" borderId="4" xfId="0" applyFont="1" applyFill="1" applyBorder="1" applyAlignment="1">
      <alignment horizontal="left" vertical="center"/>
    </xf>
    <xf numFmtId="0" fontId="19" fillId="23" borderId="0" xfId="0" applyFont="1" applyFill="1" applyBorder="1" applyAlignment="1">
      <alignment horizontal="left" vertical="center"/>
    </xf>
    <xf numFmtId="0" fontId="19" fillId="23" borderId="5" xfId="0" applyFont="1" applyFill="1" applyBorder="1" applyAlignment="1">
      <alignment horizontal="left" vertical="center"/>
    </xf>
    <xf numFmtId="0" fontId="21" fillId="23" borderId="4" xfId="0" applyFont="1" applyFill="1" applyBorder="1" applyAlignment="1">
      <alignment horizontal="left" vertical="center"/>
    </xf>
    <xf numFmtId="0" fontId="53" fillId="23" borderId="6" xfId="0" applyFont="1" applyFill="1" applyBorder="1" applyAlignment="1">
      <alignment horizontal="left" vertical="center"/>
    </xf>
    <xf numFmtId="0" fontId="19" fillId="23" borderId="7" xfId="0" applyFont="1" applyFill="1" applyBorder="1" applyAlignment="1">
      <alignment horizontal="left" vertical="center"/>
    </xf>
    <xf numFmtId="0" fontId="19" fillId="23" borderId="8" xfId="0" applyFont="1" applyFill="1" applyBorder="1" applyAlignment="1">
      <alignment horizontal="left" vertical="center"/>
    </xf>
    <xf numFmtId="0" fontId="19" fillId="3" borderId="4" xfId="0" applyFont="1" applyFill="1" applyBorder="1" applyAlignment="1">
      <alignment horizontal="justify" vertical="center" wrapText="1"/>
    </xf>
    <xf numFmtId="0" fontId="19" fillId="3" borderId="0" xfId="0" applyFont="1" applyFill="1" applyBorder="1" applyAlignment="1">
      <alignment horizontal="justify" vertical="center" wrapText="1"/>
    </xf>
    <xf numFmtId="0" fontId="19" fillId="3" borderId="5" xfId="0" applyFont="1" applyFill="1" applyBorder="1" applyAlignment="1">
      <alignment horizontal="justify" vertical="center" wrapText="1"/>
    </xf>
    <xf numFmtId="0" fontId="42" fillId="5" borderId="4" xfId="0" applyFont="1" applyFill="1" applyBorder="1" applyAlignment="1">
      <alignment horizontal="left"/>
    </xf>
    <xf numFmtId="0" fontId="23" fillId="5" borderId="1" xfId="0" applyFont="1" applyFill="1" applyBorder="1" applyAlignment="1">
      <alignment horizontal="left"/>
    </xf>
    <xf numFmtId="0" fontId="13" fillId="5" borderId="2" xfId="0" applyFont="1" applyFill="1" applyBorder="1" applyAlignment="1">
      <alignment horizontal="left"/>
    </xf>
    <xf numFmtId="0" fontId="13" fillId="5" borderId="3" xfId="0" applyFont="1" applyFill="1" applyBorder="1" applyAlignment="1">
      <alignment horizontal="left"/>
    </xf>
    <xf numFmtId="0" fontId="42" fillId="5" borderId="0" xfId="0" applyFont="1" applyFill="1" applyBorder="1" applyAlignment="1">
      <alignment horizontal="left"/>
    </xf>
    <xf numFmtId="44" fontId="13" fillId="23" borderId="5" xfId="2" applyNumberFormat="1" applyFont="1" applyFill="1" applyBorder="1" applyAlignment="1">
      <alignment horizontal="left"/>
    </xf>
    <xf numFmtId="0" fontId="42" fillId="5" borderId="0" xfId="0" applyFont="1" applyFill="1" applyAlignment="1">
      <alignment horizontal="left"/>
    </xf>
    <xf numFmtId="165" fontId="14" fillId="5" borderId="0" xfId="1" applyNumberFormat="1" applyFont="1" applyFill="1" applyBorder="1" applyAlignment="1">
      <alignment horizontal="center"/>
    </xf>
    <xf numFmtId="0" fontId="19" fillId="5" borderId="1" xfId="0" applyFont="1" applyFill="1" applyBorder="1"/>
    <xf numFmtId="0" fontId="14" fillId="5" borderId="2" xfId="0" applyFont="1" applyFill="1" applyBorder="1" applyAlignment="1">
      <alignment horizontal="center" vertical="center" wrapText="1"/>
    </xf>
    <xf numFmtId="0" fontId="19" fillId="5" borderId="3" xfId="0" applyFont="1" applyFill="1" applyBorder="1"/>
    <xf numFmtId="44" fontId="15" fillId="5" borderId="2" xfId="2" applyFont="1" applyFill="1" applyBorder="1" applyAlignment="1">
      <alignment horizontal="center" vertical="center" wrapText="1"/>
    </xf>
    <xf numFmtId="44" fontId="15" fillId="5" borderId="7" xfId="2" applyFont="1" applyFill="1" applyBorder="1" applyAlignment="1">
      <alignment horizontal="center" vertical="center" wrapText="1"/>
    </xf>
    <xf numFmtId="1" fontId="15" fillId="5" borderId="0" xfId="0" applyNumberFormat="1" applyFont="1" applyFill="1" applyBorder="1" applyAlignment="1">
      <alignment horizontal="center" vertical="center"/>
    </xf>
    <xf numFmtId="0" fontId="32" fillId="5" borderId="6" xfId="0" applyFont="1" applyFill="1" applyBorder="1" applyAlignment="1">
      <alignment horizontal="left" vertical="center" wrapText="1"/>
    </xf>
    <xf numFmtId="44" fontId="29" fillId="5" borderId="7" xfId="2" applyFont="1" applyFill="1" applyBorder="1" applyAlignment="1">
      <alignment horizontal="center" vertical="center"/>
    </xf>
    <xf numFmtId="0" fontId="17" fillId="5" borderId="0" xfId="0" applyFont="1" applyFill="1" applyBorder="1"/>
    <xf numFmtId="44" fontId="19" fillId="5" borderId="0" xfId="0" applyNumberFormat="1" applyFont="1" applyFill="1" applyBorder="1"/>
    <xf numFmtId="0" fontId="0" fillId="5" borderId="0" xfId="0" applyFill="1"/>
    <xf numFmtId="0" fontId="37" fillId="23" borderId="6" xfId="0" applyFont="1" applyFill="1" applyBorder="1" applyAlignment="1">
      <alignment vertical="top"/>
    </xf>
    <xf numFmtId="0" fontId="37" fillId="23" borderId="7" xfId="0" applyFont="1" applyFill="1" applyBorder="1" applyAlignment="1">
      <alignment horizontal="center" vertical="top"/>
    </xf>
    <xf numFmtId="0" fontId="38" fillId="23" borderId="7" xfId="0" applyFont="1" applyFill="1" applyBorder="1" applyAlignment="1">
      <alignment horizontal="center" vertical="top"/>
    </xf>
    <xf numFmtId="44" fontId="37" fillId="23" borderId="8" xfId="2" applyNumberFormat="1" applyFont="1" applyFill="1" applyBorder="1" applyAlignment="1">
      <alignment vertical="top"/>
    </xf>
    <xf numFmtId="44" fontId="19" fillId="5" borderId="0" xfId="2" applyFont="1" applyFill="1" applyBorder="1" applyAlignment="1">
      <alignment horizontal="center"/>
    </xf>
    <xf numFmtId="0" fontId="19" fillId="5" borderId="7" xfId="0" applyFont="1" applyFill="1" applyBorder="1" applyAlignment="1">
      <alignment horizontal="center"/>
    </xf>
    <xf numFmtId="44" fontId="19" fillId="5" borderId="0" xfId="3" applyNumberFormat="1" applyFont="1" applyFill="1" applyBorder="1"/>
    <xf numFmtId="9" fontId="19" fillId="5" borderId="0" xfId="3" applyFont="1" applyFill="1" applyBorder="1"/>
    <xf numFmtId="0" fontId="21" fillId="5" borderId="4" xfId="0" applyFont="1" applyFill="1" applyBorder="1" applyAlignment="1"/>
    <xf numFmtId="0" fontId="5" fillId="5" borderId="0" xfId="0" applyFont="1" applyFill="1" applyBorder="1" applyAlignment="1">
      <alignment horizontal="center"/>
    </xf>
    <xf numFmtId="10" fontId="29" fillId="22" borderId="7" xfId="3" applyNumberFormat="1" applyFont="1" applyFill="1" applyBorder="1" applyAlignment="1">
      <alignment horizontal="center" vertical="center"/>
    </xf>
    <xf numFmtId="44" fontId="29" fillId="22" borderId="0" xfId="2" applyNumberFormat="1" applyFont="1" applyFill="1" applyBorder="1" applyAlignment="1">
      <alignment horizontal="center"/>
    </xf>
    <xf numFmtId="14" fontId="13" fillId="5" borderId="0" xfId="0" applyNumberFormat="1" applyFont="1" applyFill="1" applyAlignment="1">
      <alignment vertical="center"/>
    </xf>
    <xf numFmtId="22" fontId="11" fillId="13" borderId="35" xfId="0" applyNumberFormat="1" applyFont="1" applyFill="1" applyBorder="1" applyAlignment="1">
      <alignment horizontal="center" vertical="center"/>
    </xf>
    <xf numFmtId="44" fontId="4" fillId="5" borderId="13" xfId="2" applyFont="1" applyFill="1" applyBorder="1" applyAlignment="1">
      <alignment horizontal="center" vertical="center" wrapText="1"/>
    </xf>
    <xf numFmtId="0" fontId="4" fillId="5" borderId="0" xfId="0" applyFont="1" applyFill="1" applyBorder="1" applyAlignment="1">
      <alignment horizontal="center" vertical="center" wrapText="1"/>
    </xf>
    <xf numFmtId="44" fontId="19" fillId="5" borderId="0" xfId="2" applyFont="1" applyFill="1" applyBorder="1" applyAlignment="1">
      <alignment horizontal="center"/>
    </xf>
    <xf numFmtId="0" fontId="62" fillId="24" borderId="41" xfId="0" applyFont="1" applyFill="1" applyBorder="1" applyAlignment="1">
      <alignment vertical="center" wrapText="1"/>
    </xf>
    <xf numFmtId="0" fontId="62" fillId="24" borderId="0" xfId="0" applyFont="1" applyFill="1" applyAlignment="1">
      <alignment vertical="center" wrapText="1"/>
    </xf>
    <xf numFmtId="0" fontId="62" fillId="24" borderId="0" xfId="0" applyFont="1" applyFill="1" applyAlignment="1">
      <alignment horizontal="left" vertical="center" wrapText="1"/>
    </xf>
    <xf numFmtId="0" fontId="62" fillId="24" borderId="41" xfId="0" applyFont="1" applyFill="1" applyBorder="1" applyAlignment="1">
      <alignment horizontal="left" vertical="center" wrapText="1"/>
    </xf>
    <xf numFmtId="0" fontId="62" fillId="24" borderId="42" xfId="0" applyFont="1" applyFill="1" applyBorder="1" applyAlignment="1">
      <alignment horizontal="left" vertical="center" wrapText="1"/>
    </xf>
    <xf numFmtId="0" fontId="62" fillId="24" borderId="43" xfId="0" applyFont="1" applyFill="1" applyBorder="1" applyAlignment="1">
      <alignment horizontal="left" vertical="center" wrapText="1"/>
    </xf>
    <xf numFmtId="0" fontId="62" fillId="24" borderId="45" xfId="0" applyFont="1" applyFill="1" applyBorder="1" applyAlignment="1">
      <alignment horizontal="center" vertical="center" wrapText="1"/>
    </xf>
    <xf numFmtId="0" fontId="62" fillId="24" borderId="46" xfId="0" applyFont="1" applyFill="1" applyBorder="1" applyAlignment="1">
      <alignment horizontal="center" vertical="center" wrapText="1"/>
    </xf>
    <xf numFmtId="10" fontId="42" fillId="5" borderId="0" xfId="3" applyNumberFormat="1" applyFont="1" applyFill="1" applyBorder="1" applyAlignment="1">
      <alignment horizontal="center"/>
    </xf>
    <xf numFmtId="10" fontId="42" fillId="5" borderId="0" xfId="3" applyNumberFormat="1" applyFont="1" applyFill="1" applyBorder="1" applyAlignment="1">
      <alignment horizontal="center" vertical="center"/>
    </xf>
    <xf numFmtId="44" fontId="4" fillId="9" borderId="3" xfId="2" applyFont="1" applyFill="1" applyBorder="1" applyAlignment="1">
      <alignment horizontal="center" vertical="center"/>
    </xf>
    <xf numFmtId="44" fontId="42" fillId="5" borderId="5" xfId="2" applyFont="1" applyFill="1" applyBorder="1" applyAlignment="1">
      <alignment horizontal="center"/>
    </xf>
    <xf numFmtId="44" fontId="59" fillId="21" borderId="8" xfId="3" applyNumberFormat="1" applyFont="1" applyFill="1" applyBorder="1" applyAlignment="1">
      <alignment horizontal="center"/>
    </xf>
    <xf numFmtId="44" fontId="4" fillId="9" borderId="2" xfId="2" applyFont="1" applyFill="1" applyBorder="1" applyAlignment="1">
      <alignment horizontal="center" vertical="center"/>
    </xf>
    <xf numFmtId="49" fontId="14" fillId="21" borderId="6" xfId="0" applyNumberFormat="1" applyFont="1" applyFill="1" applyBorder="1" applyAlignment="1">
      <alignment horizontal="left"/>
    </xf>
    <xf numFmtId="49" fontId="14" fillId="21" borderId="7" xfId="0" applyNumberFormat="1" applyFont="1" applyFill="1" applyBorder="1" applyAlignment="1">
      <alignment horizontal="left"/>
    </xf>
    <xf numFmtId="9" fontId="59" fillId="21" borderId="7" xfId="3" applyFont="1" applyFill="1" applyBorder="1" applyAlignment="1">
      <alignment horizontal="center"/>
    </xf>
    <xf numFmtId="168" fontId="42" fillId="5" borderId="5" xfId="2" applyNumberFormat="1" applyFont="1" applyFill="1" applyBorder="1" applyAlignment="1">
      <alignment horizontal="center"/>
    </xf>
    <xf numFmtId="0" fontId="19" fillId="5" borderId="0" xfId="0" applyFont="1" applyFill="1" applyBorder="1" applyAlignment="1">
      <alignment horizontal="center"/>
    </xf>
    <xf numFmtId="0" fontId="4" fillId="3" borderId="18" xfId="0" applyFont="1" applyFill="1" applyBorder="1" applyAlignment="1">
      <alignment horizontal="center" vertical="center" wrapText="1"/>
    </xf>
    <xf numFmtId="0" fontId="5" fillId="3" borderId="18" xfId="0" applyFont="1" applyFill="1" applyBorder="1" applyAlignment="1">
      <alignment horizontal="center" vertical="center"/>
    </xf>
    <xf numFmtId="0" fontId="5" fillId="3" borderId="19" xfId="0" applyFont="1" applyFill="1" applyBorder="1" applyAlignment="1">
      <alignment horizontal="center" vertical="center"/>
    </xf>
    <xf numFmtId="0" fontId="5" fillId="3" borderId="17" xfId="0" applyFont="1" applyFill="1" applyBorder="1" applyAlignment="1">
      <alignment horizontal="left" vertical="center"/>
    </xf>
    <xf numFmtId="0" fontId="5" fillId="3" borderId="18" xfId="0" applyFont="1" applyFill="1" applyBorder="1" applyAlignment="1">
      <alignment horizontal="left" vertical="center"/>
    </xf>
    <xf numFmtId="44" fontId="14" fillId="18" borderId="15" xfId="2" applyFont="1" applyFill="1" applyBorder="1" applyAlignment="1" applyProtection="1">
      <protection locked="0"/>
    </xf>
    <xf numFmtId="44" fontId="14" fillId="18" borderId="0" xfId="2" applyFont="1" applyFill="1" applyBorder="1" applyAlignment="1" applyProtection="1">
      <protection locked="0"/>
    </xf>
    <xf numFmtId="44" fontId="14" fillId="5" borderId="0" xfId="2" applyFont="1" applyFill="1" applyBorder="1" applyProtection="1">
      <protection locked="0"/>
    </xf>
    <xf numFmtId="44" fontId="14" fillId="18" borderId="15" xfId="2" applyFont="1" applyFill="1" applyBorder="1" applyProtection="1">
      <protection locked="0"/>
    </xf>
    <xf numFmtId="0" fontId="0" fillId="5" borderId="0" xfId="0" applyFill="1" applyAlignment="1">
      <alignment vertical="center"/>
    </xf>
    <xf numFmtId="0" fontId="0" fillId="5" borderId="0" xfId="0" applyFill="1" applyAlignment="1">
      <alignment horizontal="center" vertical="center"/>
    </xf>
    <xf numFmtId="0" fontId="66" fillId="5" borderId="0" xfId="0" applyFont="1" applyFill="1" applyAlignment="1">
      <alignment horizontal="center"/>
    </xf>
    <xf numFmtId="2" fontId="4" fillId="18" borderId="36" xfId="0" applyNumberFormat="1" applyFont="1" applyFill="1" applyBorder="1" applyAlignment="1" applyProtection="1">
      <alignment horizontal="center" vertical="center"/>
      <protection locked="0"/>
    </xf>
    <xf numFmtId="165" fontId="4" fillId="18" borderId="36" xfId="0" applyNumberFormat="1" applyFont="1" applyFill="1" applyBorder="1" applyAlignment="1" applyProtection="1">
      <alignment horizontal="center" vertical="center"/>
      <protection locked="0"/>
    </xf>
    <xf numFmtId="9" fontId="4" fillId="18" borderId="36" xfId="3" applyFont="1" applyFill="1" applyBorder="1" applyAlignment="1" applyProtection="1">
      <alignment horizontal="center" vertical="center"/>
      <protection locked="0"/>
    </xf>
    <xf numFmtId="2" fontId="4" fillId="18" borderId="36" xfId="3" applyNumberFormat="1" applyFont="1" applyFill="1" applyBorder="1" applyAlignment="1" applyProtection="1">
      <alignment horizontal="center" vertical="center"/>
      <protection locked="0"/>
    </xf>
    <xf numFmtId="10" fontId="4" fillId="18" borderId="36" xfId="3" applyNumberFormat="1" applyFont="1" applyFill="1" applyBorder="1" applyAlignment="1" applyProtection="1">
      <alignment horizontal="center" vertical="center"/>
      <protection locked="0"/>
    </xf>
    <xf numFmtId="166" fontId="4" fillId="18" borderId="36" xfId="3" applyNumberFormat="1" applyFont="1" applyFill="1" applyBorder="1" applyAlignment="1" applyProtection="1">
      <alignment horizontal="center" vertical="center"/>
      <protection locked="0"/>
    </xf>
    <xf numFmtId="2" fontId="5" fillId="18" borderId="2" xfId="0" applyNumberFormat="1" applyFont="1" applyFill="1" applyBorder="1" applyAlignment="1" applyProtection="1">
      <alignment horizontal="center" vertical="center" wrapText="1"/>
      <protection locked="0"/>
    </xf>
    <xf numFmtId="1" fontId="5" fillId="18" borderId="2" xfId="0" applyNumberFormat="1" applyFont="1" applyFill="1" applyBorder="1" applyAlignment="1" applyProtection="1">
      <alignment horizontal="center" vertical="center" wrapText="1"/>
      <protection locked="0"/>
    </xf>
    <xf numFmtId="44" fontId="5" fillId="18" borderId="2" xfId="2" applyFont="1" applyFill="1" applyBorder="1" applyAlignment="1" applyProtection="1">
      <alignment horizontal="center" vertical="center"/>
      <protection locked="0"/>
    </xf>
    <xf numFmtId="2" fontId="5" fillId="18" borderId="0" xfId="0" applyNumberFormat="1" applyFont="1" applyFill="1" applyBorder="1" applyAlignment="1" applyProtection="1">
      <alignment horizontal="center" vertical="center" wrapText="1"/>
      <protection locked="0"/>
    </xf>
    <xf numFmtId="1" fontId="5" fillId="18" borderId="0" xfId="0" applyNumberFormat="1" applyFont="1" applyFill="1" applyBorder="1" applyAlignment="1" applyProtection="1">
      <alignment horizontal="center" vertical="center" wrapText="1"/>
      <protection locked="0"/>
    </xf>
    <xf numFmtId="44" fontId="5" fillId="18" borderId="0" xfId="2" applyFont="1" applyFill="1" applyBorder="1" applyAlignment="1" applyProtection="1">
      <alignment horizontal="center" vertical="center"/>
      <protection locked="0"/>
    </xf>
    <xf numFmtId="2" fontId="5" fillId="18" borderId="0" xfId="0" applyNumberFormat="1" applyFont="1" applyFill="1" applyBorder="1" applyAlignment="1" applyProtection="1">
      <alignment horizontal="center" vertical="center"/>
      <protection locked="0"/>
    </xf>
    <xf numFmtId="1" fontId="5" fillId="18" borderId="0" xfId="0" applyNumberFormat="1" applyFont="1" applyFill="1" applyBorder="1" applyAlignment="1" applyProtection="1">
      <alignment horizontal="center" vertical="center"/>
      <protection locked="0"/>
    </xf>
    <xf numFmtId="0" fontId="5" fillId="18" borderId="0" xfId="0" applyFont="1" applyFill="1" applyBorder="1" applyAlignment="1" applyProtection="1">
      <alignment horizontal="center" vertical="center"/>
      <protection locked="0"/>
    </xf>
    <xf numFmtId="1" fontId="5" fillId="18" borderId="2" xfId="0" applyNumberFormat="1" applyFont="1" applyFill="1" applyBorder="1" applyAlignment="1" applyProtection="1">
      <alignment horizontal="center" vertical="center"/>
      <protection locked="0"/>
    </xf>
    <xf numFmtId="9" fontId="5" fillId="18" borderId="2" xfId="3" applyFont="1" applyFill="1" applyBorder="1" applyAlignment="1" applyProtection="1">
      <alignment horizontal="center" vertical="center"/>
      <protection locked="0"/>
    </xf>
    <xf numFmtId="9" fontId="5" fillId="18" borderId="0" xfId="3" applyFont="1" applyFill="1" applyBorder="1" applyAlignment="1" applyProtection="1">
      <alignment horizontal="center" vertical="center"/>
      <protection locked="0"/>
    </xf>
    <xf numFmtId="44" fontId="5" fillId="18" borderId="0" xfId="2" applyFont="1" applyFill="1" applyBorder="1" applyAlignment="1" applyProtection="1">
      <alignment horizontal="center" vertical="center"/>
    </xf>
    <xf numFmtId="1" fontId="5" fillId="18" borderId="7" xfId="0" applyNumberFormat="1" applyFont="1" applyFill="1" applyBorder="1" applyAlignment="1" applyProtection="1">
      <alignment horizontal="center" vertical="center"/>
      <protection locked="0"/>
    </xf>
    <xf numFmtId="44" fontId="5" fillId="18" borderId="7" xfId="2" applyFont="1" applyFill="1" applyBorder="1" applyAlignment="1" applyProtection="1">
      <alignment horizontal="center" vertical="center"/>
      <protection locked="0"/>
    </xf>
    <xf numFmtId="9" fontId="5" fillId="18" borderId="7" xfId="3" applyFont="1" applyFill="1" applyBorder="1" applyAlignment="1" applyProtection="1">
      <alignment horizontal="center" vertical="center"/>
      <protection locked="0"/>
    </xf>
    <xf numFmtId="1" fontId="4" fillId="18" borderId="0" xfId="0" applyNumberFormat="1" applyFont="1" applyFill="1" applyBorder="1" applyAlignment="1" applyProtection="1">
      <alignment horizontal="center" vertical="center" wrapText="1"/>
      <protection locked="0"/>
    </xf>
    <xf numFmtId="2" fontId="4" fillId="18" borderId="0" xfId="0" applyNumberFormat="1" applyFont="1" applyFill="1" applyBorder="1" applyAlignment="1" applyProtection="1">
      <alignment horizontal="center" vertical="center" wrapText="1"/>
      <protection locked="0"/>
    </xf>
    <xf numFmtId="44" fontId="4" fillId="18" borderId="13" xfId="2" applyFont="1" applyFill="1" applyBorder="1" applyAlignment="1" applyProtection="1">
      <alignment horizontal="center" vertical="center" wrapText="1"/>
      <protection locked="0"/>
    </xf>
    <xf numFmtId="1" fontId="4" fillId="18" borderId="15" xfId="0" applyNumberFormat="1" applyFont="1" applyFill="1" applyBorder="1" applyAlignment="1" applyProtection="1">
      <alignment horizontal="center" vertical="center" wrapText="1"/>
      <protection locked="0"/>
    </xf>
    <xf numFmtId="2" fontId="4" fillId="18" borderId="15" xfId="0" applyNumberFormat="1" applyFont="1" applyFill="1" applyBorder="1" applyAlignment="1" applyProtection="1">
      <alignment horizontal="center" vertical="center" wrapText="1"/>
      <protection locked="0"/>
    </xf>
    <xf numFmtId="44" fontId="4" fillId="18" borderId="16" xfId="2" applyFont="1" applyFill="1" applyBorder="1" applyAlignment="1" applyProtection="1">
      <alignment horizontal="center" vertical="center" wrapText="1"/>
      <protection locked="0"/>
    </xf>
    <xf numFmtId="0" fontId="4" fillId="18" borderId="0" xfId="0" applyFont="1" applyFill="1" applyBorder="1" applyAlignment="1" applyProtection="1">
      <alignment horizontal="center" vertical="center" wrapText="1"/>
      <protection locked="0"/>
    </xf>
    <xf numFmtId="0" fontId="4" fillId="18" borderId="15" xfId="0" applyFont="1" applyFill="1" applyBorder="1" applyAlignment="1" applyProtection="1">
      <alignment horizontal="center" vertical="center" wrapText="1"/>
      <protection locked="0"/>
    </xf>
    <xf numFmtId="44" fontId="4" fillId="18" borderId="0" xfId="2" applyFont="1" applyFill="1" applyBorder="1" applyAlignment="1" applyProtection="1">
      <alignment horizontal="center" vertical="center" wrapText="1"/>
      <protection locked="0"/>
    </xf>
    <xf numFmtId="0" fontId="4" fillId="18" borderId="13" xfId="0" applyFont="1" applyFill="1" applyBorder="1" applyAlignment="1" applyProtection="1">
      <alignment horizontal="center" vertical="center" wrapText="1"/>
      <protection locked="0"/>
    </xf>
    <xf numFmtId="44" fontId="4" fillId="18" borderId="15" xfId="2" applyFont="1" applyFill="1" applyBorder="1" applyAlignment="1" applyProtection="1">
      <alignment horizontal="center" vertical="center" wrapText="1"/>
      <protection locked="0"/>
    </xf>
    <xf numFmtId="0" fontId="4" fillId="18" borderId="16" xfId="0" applyFont="1" applyFill="1" applyBorder="1" applyAlignment="1" applyProtection="1">
      <alignment horizontal="center" vertical="center" wrapText="1"/>
      <protection locked="0"/>
    </xf>
    <xf numFmtId="44" fontId="4" fillId="18" borderId="10" xfId="2" applyFont="1" applyFill="1" applyBorder="1" applyAlignment="1" applyProtection="1">
      <alignment horizontal="center" vertical="center" wrapText="1"/>
      <protection locked="0"/>
    </xf>
    <xf numFmtId="0" fontId="64" fillId="25" borderId="44" xfId="0" applyFont="1" applyFill="1" applyBorder="1" applyAlignment="1" applyProtection="1">
      <alignment horizontal="center" vertical="center" wrapText="1"/>
      <protection locked="0"/>
    </xf>
    <xf numFmtId="0" fontId="64" fillId="25" borderId="45" xfId="0" applyFont="1" applyFill="1" applyBorder="1" applyAlignment="1" applyProtection="1">
      <alignment horizontal="center" vertical="center" wrapText="1"/>
      <protection locked="0"/>
    </xf>
    <xf numFmtId="165" fontId="64" fillId="25" borderId="45" xfId="0" applyNumberFormat="1" applyFont="1" applyFill="1" applyBorder="1" applyAlignment="1" applyProtection="1">
      <alignment horizontal="center" vertical="center" wrapText="1"/>
      <protection locked="0"/>
    </xf>
    <xf numFmtId="0" fontId="64" fillId="25" borderId="46" xfId="0" applyFont="1" applyFill="1" applyBorder="1" applyAlignment="1" applyProtection="1">
      <alignment horizontal="center" vertical="center" wrapText="1"/>
      <protection locked="0"/>
    </xf>
    <xf numFmtId="44" fontId="4" fillId="18" borderId="20" xfId="2" applyFont="1" applyFill="1" applyBorder="1" applyAlignment="1" applyProtection="1">
      <alignment horizontal="center" vertical="center" wrapText="1"/>
      <protection locked="0"/>
    </xf>
    <xf numFmtId="44" fontId="4" fillId="18" borderId="34" xfId="2" applyFont="1" applyFill="1" applyBorder="1" applyAlignment="1" applyProtection="1">
      <alignment horizontal="center" vertical="center" wrapText="1"/>
      <protection locked="0"/>
    </xf>
    <xf numFmtId="1" fontId="64" fillId="25" borderId="45" xfId="0" applyNumberFormat="1" applyFont="1" applyFill="1" applyBorder="1" applyAlignment="1" applyProtection="1">
      <alignment horizontal="center" vertical="center" wrapText="1"/>
      <protection locked="0"/>
    </xf>
    <xf numFmtId="0" fontId="65" fillId="25" borderId="45" xfId="0" applyFont="1" applyFill="1" applyBorder="1" applyAlignment="1" applyProtection="1">
      <alignment horizontal="center" vertical="center" wrapText="1"/>
      <protection locked="0"/>
    </xf>
    <xf numFmtId="0" fontId="65" fillId="25" borderId="46" xfId="0" applyFont="1" applyFill="1" applyBorder="1" applyAlignment="1" applyProtection="1">
      <alignment horizontal="center" vertical="center" wrapText="1"/>
      <protection locked="0"/>
    </xf>
    <xf numFmtId="0" fontId="64" fillId="25" borderId="47" xfId="0" applyFont="1" applyFill="1" applyBorder="1" applyAlignment="1" applyProtection="1">
      <alignment horizontal="center" vertical="center" wrapText="1"/>
      <protection locked="0"/>
    </xf>
    <xf numFmtId="0" fontId="64" fillId="25" borderId="0" xfId="0" applyFont="1" applyFill="1" applyAlignment="1" applyProtection="1">
      <alignment horizontal="center" vertical="center" wrapText="1"/>
      <protection locked="0"/>
    </xf>
    <xf numFmtId="2" fontId="64" fillId="25" borderId="0" xfId="0" applyNumberFormat="1" applyFont="1" applyFill="1" applyAlignment="1" applyProtection="1">
      <alignment horizontal="center" vertical="center" wrapText="1"/>
      <protection locked="0"/>
    </xf>
    <xf numFmtId="0" fontId="64" fillId="25" borderId="43" xfId="0" applyFont="1" applyFill="1" applyBorder="1" applyAlignment="1" applyProtection="1">
      <alignment horizontal="center" vertical="center" wrapText="1"/>
      <protection locked="0"/>
    </xf>
    <xf numFmtId="44" fontId="12" fillId="18" borderId="10" xfId="2" applyFont="1" applyFill="1" applyBorder="1" applyAlignment="1" applyProtection="1">
      <alignment horizontal="left" vertical="center" wrapText="1"/>
      <protection locked="0"/>
    </xf>
    <xf numFmtId="167" fontId="12" fillId="18" borderId="11" xfId="2" applyNumberFormat="1" applyFont="1" applyFill="1" applyBorder="1" applyAlignment="1" applyProtection="1">
      <alignment horizontal="center" vertical="center" wrapText="1"/>
      <protection locked="0"/>
    </xf>
    <xf numFmtId="166" fontId="12" fillId="18" borderId="31" xfId="3" applyNumberFormat="1" applyFont="1" applyFill="1" applyBorder="1" applyAlignment="1" applyProtection="1">
      <alignment horizontal="center" vertical="center" wrapText="1"/>
      <protection locked="0"/>
    </xf>
    <xf numFmtId="44" fontId="12" fillId="18" borderId="31" xfId="2" applyFont="1" applyFill="1" applyBorder="1" applyAlignment="1" applyProtection="1">
      <alignment horizontal="center" vertical="center" wrapText="1"/>
      <protection locked="0"/>
    </xf>
    <xf numFmtId="0" fontId="4" fillId="18" borderId="11" xfId="0" applyFont="1" applyFill="1" applyBorder="1" applyAlignment="1" applyProtection="1">
      <alignment horizontal="center" vertical="center" wrapText="1"/>
      <protection locked="0"/>
    </xf>
    <xf numFmtId="0" fontId="5" fillId="3" borderId="19" xfId="0" applyFont="1" applyFill="1" applyBorder="1" applyAlignment="1">
      <alignment horizontal="center" vertical="center" wrapText="1"/>
    </xf>
    <xf numFmtId="10" fontId="42" fillId="5" borderId="0" xfId="3" applyNumberFormat="1" applyFont="1" applyFill="1" applyBorder="1" applyAlignment="1" applyProtection="1">
      <alignment horizontal="center"/>
    </xf>
    <xf numFmtId="44" fontId="42" fillId="5" borderId="5" xfId="2" applyFont="1" applyFill="1" applyBorder="1" applyAlignment="1" applyProtection="1">
      <alignment horizontal="center"/>
    </xf>
    <xf numFmtId="0" fontId="67" fillId="27" borderId="4" xfId="0" applyFont="1" applyFill="1" applyBorder="1" applyAlignment="1">
      <alignment horizontal="center"/>
    </xf>
    <xf numFmtId="0" fontId="67" fillId="5" borderId="4" xfId="0" applyFont="1" applyFill="1" applyBorder="1" applyAlignment="1">
      <alignment horizontal="center"/>
    </xf>
    <xf numFmtId="0" fontId="67" fillId="5" borderId="4" xfId="0" applyFont="1" applyFill="1" applyBorder="1" applyAlignment="1">
      <alignment horizontal="center" wrapText="1"/>
    </xf>
    <xf numFmtId="9" fontId="4" fillId="18" borderId="22" xfId="3" applyFont="1" applyFill="1" applyBorder="1" applyAlignment="1" applyProtection="1">
      <alignment horizontal="center" vertical="center"/>
      <protection locked="0"/>
    </xf>
    <xf numFmtId="0" fontId="19" fillId="5" borderId="2" xfId="0" applyFont="1" applyFill="1" applyBorder="1"/>
    <xf numFmtId="0" fontId="19" fillId="5" borderId="2" xfId="0" applyFont="1" applyFill="1" applyBorder="1" applyAlignment="1">
      <alignment horizontal="center"/>
    </xf>
    <xf numFmtId="0" fontId="58" fillId="27" borderId="5" xfId="0" applyFont="1" applyFill="1" applyBorder="1" applyAlignment="1">
      <alignment horizontal="center" vertical="center"/>
    </xf>
    <xf numFmtId="0" fontId="58" fillId="27" borderId="5" xfId="0" applyFont="1" applyFill="1" applyBorder="1" applyAlignment="1">
      <alignment horizontal="center"/>
    </xf>
    <xf numFmtId="0" fontId="70" fillId="5" borderId="4" xfId="0" applyFont="1" applyFill="1" applyBorder="1" applyAlignment="1">
      <alignment horizontal="center" vertical="center"/>
    </xf>
    <xf numFmtId="0" fontId="70" fillId="5" borderId="0" xfId="0" applyFont="1" applyFill="1" applyBorder="1" applyAlignment="1">
      <alignment horizontal="center" vertical="center"/>
    </xf>
    <xf numFmtId="0" fontId="70" fillId="5" borderId="5" xfId="0" applyFont="1" applyFill="1" applyBorder="1" applyAlignment="1">
      <alignment horizontal="center" vertical="center"/>
    </xf>
    <xf numFmtId="49" fontId="70" fillId="3" borderId="18" xfId="2" applyNumberFormat="1" applyFont="1" applyFill="1" applyBorder="1" applyAlignment="1">
      <alignment horizontal="center" vertical="center" wrapText="1"/>
    </xf>
    <xf numFmtId="0" fontId="70" fillId="3" borderId="19" xfId="0" applyFont="1" applyFill="1" applyBorder="1" applyAlignment="1">
      <alignment horizontal="center" vertical="center" wrapText="1"/>
    </xf>
    <xf numFmtId="0" fontId="58" fillId="27" borderId="27" xfId="0" applyFont="1" applyFill="1" applyBorder="1" applyAlignment="1">
      <alignment horizontal="center"/>
    </xf>
    <xf numFmtId="0" fontId="13" fillId="4" borderId="5" xfId="0" applyFont="1" applyFill="1" applyBorder="1" applyAlignment="1">
      <alignment horizontal="center" vertical="center" wrapText="1"/>
    </xf>
    <xf numFmtId="1" fontId="29" fillId="22" borderId="0" xfId="0" applyNumberFormat="1" applyFont="1" applyFill="1" applyBorder="1" applyAlignment="1">
      <alignment horizontal="center" vertical="center"/>
    </xf>
    <xf numFmtId="44" fontId="42" fillId="5" borderId="0" xfId="0" applyNumberFormat="1" applyFont="1" applyFill="1"/>
    <xf numFmtId="0" fontId="6" fillId="5" borderId="0" xfId="0" applyFont="1" applyFill="1" applyBorder="1" applyAlignment="1">
      <alignment horizontal="left" vertical="center"/>
    </xf>
    <xf numFmtId="2" fontId="16" fillId="23" borderId="36" xfId="0" applyNumberFormat="1" applyFont="1" applyFill="1" applyBorder="1" applyAlignment="1" applyProtection="1">
      <alignment horizontal="center" vertical="center"/>
    </xf>
    <xf numFmtId="0" fontId="73" fillId="5" borderId="0" xfId="0" applyFont="1" applyFill="1" applyBorder="1" applyAlignment="1">
      <alignment horizontal="left" vertical="center"/>
    </xf>
    <xf numFmtId="2" fontId="73" fillId="23" borderId="36" xfId="0" applyNumberFormat="1" applyFont="1" applyFill="1" applyBorder="1" applyAlignment="1">
      <alignment horizontal="center" vertical="center"/>
    </xf>
    <xf numFmtId="0" fontId="12" fillId="5" borderId="2" xfId="0" applyFont="1" applyFill="1" applyBorder="1" applyAlignment="1">
      <alignment horizontal="left" vertical="center"/>
    </xf>
    <xf numFmtId="0" fontId="4" fillId="5" borderId="2" xfId="0" applyFont="1" applyFill="1" applyBorder="1" applyAlignment="1">
      <alignment horizontal="center" vertical="center"/>
    </xf>
    <xf numFmtId="49" fontId="74" fillId="27" borderId="0" xfId="0" applyNumberFormat="1" applyFont="1" applyFill="1" applyAlignment="1">
      <alignment horizontal="center" vertical="center" textRotation="255"/>
    </xf>
    <xf numFmtId="0" fontId="19" fillId="23" borderId="4" xfId="0" applyFont="1" applyFill="1" applyBorder="1" applyAlignment="1">
      <alignment horizontal="justify" vertical="center" wrapText="1"/>
    </xf>
    <xf numFmtId="0" fontId="19" fillId="23" borderId="0" xfId="0" applyFont="1" applyFill="1" applyBorder="1" applyAlignment="1">
      <alignment horizontal="justify" vertical="center" wrapText="1"/>
    </xf>
    <xf numFmtId="0" fontId="19" fillId="23" borderId="5" xfId="0" applyFont="1" applyFill="1" applyBorder="1" applyAlignment="1">
      <alignment horizontal="justify" vertical="center" wrapText="1"/>
    </xf>
    <xf numFmtId="0" fontId="19" fillId="23" borderId="6" xfId="0" applyFont="1" applyFill="1" applyBorder="1" applyAlignment="1">
      <alignment horizontal="justify" vertical="center" wrapText="1"/>
    </xf>
    <xf numFmtId="0" fontId="19" fillId="23" borderId="7" xfId="0" applyFont="1" applyFill="1" applyBorder="1" applyAlignment="1">
      <alignment horizontal="justify" vertical="center" wrapText="1"/>
    </xf>
    <xf numFmtId="0" fontId="19" fillId="23" borderId="8" xfId="0" applyFont="1" applyFill="1" applyBorder="1" applyAlignment="1">
      <alignment horizontal="justify" vertical="center" wrapText="1"/>
    </xf>
    <xf numFmtId="0" fontId="54" fillId="3" borderId="1" xfId="0" applyFont="1" applyFill="1" applyBorder="1" applyAlignment="1">
      <alignment horizontal="center" vertical="top" wrapText="1"/>
    </xf>
    <xf numFmtId="0" fontId="54" fillId="3" borderId="2" xfId="0" applyFont="1" applyFill="1" applyBorder="1" applyAlignment="1">
      <alignment horizontal="center" vertical="top" wrapText="1"/>
    </xf>
    <xf numFmtId="0" fontId="54" fillId="3" borderId="3" xfId="0" applyFont="1" applyFill="1" applyBorder="1" applyAlignment="1">
      <alignment horizontal="center" vertical="top" wrapText="1"/>
    </xf>
    <xf numFmtId="0" fontId="54" fillId="3" borderId="4" xfId="0" applyFont="1" applyFill="1" applyBorder="1" applyAlignment="1">
      <alignment horizontal="center" vertical="top" wrapText="1"/>
    </xf>
    <xf numFmtId="0" fontId="54" fillId="3" borderId="0" xfId="0" applyFont="1" applyFill="1" applyBorder="1" applyAlignment="1">
      <alignment horizontal="center" vertical="top" wrapText="1"/>
    </xf>
    <xf numFmtId="0" fontId="54" fillId="3" borderId="5" xfId="0" applyFont="1" applyFill="1" applyBorder="1" applyAlignment="1">
      <alignment horizontal="center" vertical="top" wrapText="1"/>
    </xf>
    <xf numFmtId="0" fontId="54" fillId="3" borderId="6" xfId="0" applyFont="1" applyFill="1" applyBorder="1" applyAlignment="1">
      <alignment horizontal="center" vertical="top" wrapText="1"/>
    </xf>
    <xf numFmtId="0" fontId="54" fillId="3" borderId="7" xfId="0" applyFont="1" applyFill="1" applyBorder="1" applyAlignment="1">
      <alignment horizontal="center" vertical="top" wrapText="1"/>
    </xf>
    <xf numFmtId="0" fontId="54" fillId="3" borderId="8" xfId="0" applyFont="1" applyFill="1" applyBorder="1" applyAlignment="1">
      <alignment horizontal="center" vertical="top" wrapText="1"/>
    </xf>
    <xf numFmtId="0" fontId="19" fillId="23" borderId="4" xfId="0" applyFont="1" applyFill="1" applyBorder="1" applyAlignment="1">
      <alignment horizontal="justify" vertical="center"/>
    </xf>
    <xf numFmtId="0" fontId="19" fillId="23" borderId="0" xfId="0" applyFont="1" applyFill="1" applyBorder="1" applyAlignment="1">
      <alignment horizontal="justify" vertical="center"/>
    </xf>
    <xf numFmtId="0" fontId="19" fillId="23" borderId="5" xfId="0" applyFont="1" applyFill="1" applyBorder="1" applyAlignment="1">
      <alignment horizontal="justify" vertical="center"/>
    </xf>
    <xf numFmtId="0" fontId="20" fillId="22" borderId="17" xfId="0" applyFont="1" applyFill="1" applyBorder="1" applyAlignment="1">
      <alignment horizontal="justify" vertical="center"/>
    </xf>
    <xf numFmtId="0" fontId="20" fillId="22" borderId="18" xfId="0" applyFont="1" applyFill="1" applyBorder="1" applyAlignment="1">
      <alignment horizontal="justify" vertical="center"/>
    </xf>
    <xf numFmtId="0" fontId="20" fillId="22" borderId="19" xfId="0" applyFont="1" applyFill="1" applyBorder="1" applyAlignment="1">
      <alignment horizontal="justify" vertical="center"/>
    </xf>
    <xf numFmtId="0" fontId="19" fillId="23" borderId="4" xfId="0" applyFont="1" applyFill="1" applyBorder="1" applyAlignment="1">
      <alignment horizontal="left" vertical="center" wrapText="1"/>
    </xf>
    <xf numFmtId="0" fontId="19" fillId="23" borderId="0" xfId="0" applyFont="1" applyFill="1" applyBorder="1" applyAlignment="1">
      <alignment horizontal="left" vertical="center" wrapText="1"/>
    </xf>
    <xf numFmtId="0" fontId="19" fillId="23" borderId="5" xfId="0" applyFont="1" applyFill="1" applyBorder="1" applyAlignment="1">
      <alignment horizontal="left" vertical="center" wrapText="1"/>
    </xf>
    <xf numFmtId="0" fontId="21" fillId="23" borderId="4" xfId="0" applyFont="1" applyFill="1" applyBorder="1" applyAlignment="1">
      <alignment horizontal="justify" vertical="center" wrapText="1"/>
    </xf>
    <xf numFmtId="0" fontId="21" fillId="23" borderId="0" xfId="0" applyFont="1" applyFill="1" applyBorder="1" applyAlignment="1">
      <alignment horizontal="justify" vertical="center" wrapText="1"/>
    </xf>
    <xf numFmtId="0" fontId="21" fillId="23" borderId="5" xfId="0" applyFont="1" applyFill="1" applyBorder="1" applyAlignment="1">
      <alignment horizontal="justify" vertical="center" wrapText="1"/>
    </xf>
    <xf numFmtId="0" fontId="19" fillId="23" borderId="1" xfId="0" applyFont="1" applyFill="1" applyBorder="1" applyAlignment="1">
      <alignment horizontal="justify" vertical="center" wrapText="1"/>
    </xf>
    <xf numFmtId="0" fontId="19" fillId="23" borderId="2" xfId="0" applyFont="1" applyFill="1" applyBorder="1" applyAlignment="1">
      <alignment horizontal="justify" vertical="center" wrapText="1"/>
    </xf>
    <xf numFmtId="0" fontId="19" fillId="23" borderId="3" xfId="0" applyFont="1" applyFill="1" applyBorder="1" applyAlignment="1">
      <alignment horizontal="justify" vertical="center" wrapText="1"/>
    </xf>
    <xf numFmtId="0" fontId="21" fillId="23" borderId="6" xfId="0" applyFont="1" applyFill="1" applyBorder="1" applyAlignment="1">
      <alignment horizontal="justify" vertical="center" wrapText="1"/>
    </xf>
    <xf numFmtId="0" fontId="21" fillId="23" borderId="7" xfId="0" applyFont="1" applyFill="1" applyBorder="1" applyAlignment="1">
      <alignment horizontal="justify" vertical="center" wrapText="1"/>
    </xf>
    <xf numFmtId="0" fontId="21" fillId="23" borderId="8" xfId="0" applyFont="1" applyFill="1" applyBorder="1" applyAlignment="1">
      <alignment horizontal="justify" vertical="center" wrapText="1"/>
    </xf>
    <xf numFmtId="0" fontId="22" fillId="23" borderId="4" xfId="0" applyFont="1" applyFill="1" applyBorder="1" applyAlignment="1">
      <alignment horizontal="center" vertical="center" wrapText="1"/>
    </xf>
    <xf numFmtId="0" fontId="22" fillId="23" borderId="0" xfId="0" applyFont="1" applyFill="1" applyBorder="1" applyAlignment="1">
      <alignment horizontal="center" vertical="center" wrapText="1"/>
    </xf>
    <xf numFmtId="0" fontId="18" fillId="18" borderId="17" xfId="0" applyFont="1" applyFill="1" applyBorder="1" applyAlignment="1">
      <alignment horizontal="justify" vertical="center" wrapText="1"/>
    </xf>
    <xf numFmtId="0" fontId="18" fillId="18" borderId="19" xfId="0" applyFont="1" applyFill="1" applyBorder="1" applyAlignment="1">
      <alignment horizontal="justify" vertical="center" wrapText="1"/>
    </xf>
    <xf numFmtId="0" fontId="19" fillId="23" borderId="6" xfId="0" applyFont="1" applyFill="1" applyBorder="1" applyAlignment="1">
      <alignment horizontal="justify" vertical="center"/>
    </xf>
    <xf numFmtId="0" fontId="19" fillId="23" borderId="7" xfId="0" applyFont="1" applyFill="1" applyBorder="1" applyAlignment="1">
      <alignment horizontal="justify" vertical="center"/>
    </xf>
    <xf numFmtId="0" fontId="19" fillId="23" borderId="8" xfId="0" applyFont="1" applyFill="1" applyBorder="1" applyAlignment="1">
      <alignment horizontal="justify" vertical="center"/>
    </xf>
    <xf numFmtId="0" fontId="54" fillId="3" borderId="17" xfId="0" applyFont="1" applyFill="1" applyBorder="1" applyAlignment="1">
      <alignment horizontal="justify" vertical="center"/>
    </xf>
    <xf numFmtId="0" fontId="54" fillId="3" borderId="18" xfId="0" applyFont="1" applyFill="1" applyBorder="1" applyAlignment="1">
      <alignment horizontal="justify" vertical="center"/>
    </xf>
    <xf numFmtId="0" fontId="54" fillId="3" borderId="19" xfId="0" applyFont="1" applyFill="1" applyBorder="1" applyAlignment="1">
      <alignment horizontal="justify" vertical="center"/>
    </xf>
    <xf numFmtId="0" fontId="55" fillId="3" borderId="1" xfId="0" applyFont="1" applyFill="1" applyBorder="1" applyAlignment="1">
      <alignment horizontal="center" vertical="center" wrapText="1"/>
    </xf>
    <xf numFmtId="0" fontId="55" fillId="3" borderId="2" xfId="0" applyFont="1" applyFill="1" applyBorder="1" applyAlignment="1">
      <alignment horizontal="center" vertical="center" wrapText="1"/>
    </xf>
    <xf numFmtId="0" fontId="55" fillId="3" borderId="3" xfId="0" applyFont="1" applyFill="1" applyBorder="1" applyAlignment="1">
      <alignment horizontal="center" vertical="center" wrapText="1"/>
    </xf>
    <xf numFmtId="0" fontId="55" fillId="3" borderId="4" xfId="0" applyFont="1" applyFill="1" applyBorder="1" applyAlignment="1">
      <alignment horizontal="center" vertical="center" wrapText="1"/>
    </xf>
    <xf numFmtId="0" fontId="55" fillId="3" borderId="0" xfId="0" applyFont="1" applyFill="1" applyBorder="1" applyAlignment="1">
      <alignment horizontal="center" vertical="center" wrapText="1"/>
    </xf>
    <xf numFmtId="0" fontId="55" fillId="3" borderId="5" xfId="0" applyFont="1" applyFill="1" applyBorder="1" applyAlignment="1">
      <alignment horizontal="center" vertical="center" wrapText="1"/>
    </xf>
    <xf numFmtId="0" fontId="55" fillId="3" borderId="6" xfId="0" applyFont="1" applyFill="1" applyBorder="1" applyAlignment="1">
      <alignment horizontal="center" vertical="center" wrapText="1"/>
    </xf>
    <xf numFmtId="0" fontId="55" fillId="3" borderId="7" xfId="0" applyFont="1" applyFill="1" applyBorder="1" applyAlignment="1">
      <alignment horizontal="center" vertical="center" wrapText="1"/>
    </xf>
    <xf numFmtId="0" fontId="55" fillId="3" borderId="8" xfId="0" applyFont="1" applyFill="1" applyBorder="1" applyAlignment="1">
      <alignment horizontal="center" vertical="center" wrapText="1"/>
    </xf>
    <xf numFmtId="0" fontId="3" fillId="18" borderId="0" xfId="6" applyFill="1" applyBorder="1" applyAlignment="1" applyProtection="1">
      <alignment horizontal="center" vertical="center" wrapText="1"/>
      <protection locked="0"/>
    </xf>
    <xf numFmtId="0" fontId="14" fillId="18" borderId="0" xfId="4" applyFont="1" applyFill="1" applyBorder="1" applyAlignment="1" applyProtection="1">
      <alignment horizontal="center" vertical="center" wrapText="1"/>
      <protection locked="0"/>
    </xf>
    <xf numFmtId="0" fontId="14" fillId="18" borderId="5" xfId="4" applyFont="1" applyFill="1" applyBorder="1" applyAlignment="1" applyProtection="1">
      <alignment horizontal="center" vertical="center" wrapText="1"/>
      <protection locked="0"/>
    </xf>
    <xf numFmtId="0" fontId="3" fillId="18" borderId="0" xfId="6" applyFill="1" applyBorder="1" applyAlignment="1" applyProtection="1">
      <alignment horizontal="center"/>
      <protection locked="0"/>
    </xf>
    <xf numFmtId="0" fontId="14" fillId="18" borderId="0" xfId="4" applyFont="1" applyFill="1" applyBorder="1" applyAlignment="1" applyProtection="1">
      <alignment horizontal="center"/>
      <protection locked="0"/>
    </xf>
    <xf numFmtId="0" fontId="14" fillId="18" borderId="5" xfId="4" applyFont="1" applyFill="1" applyBorder="1" applyAlignment="1" applyProtection="1">
      <alignment horizontal="center"/>
      <protection locked="0"/>
    </xf>
    <xf numFmtId="0" fontId="4" fillId="3" borderId="1" xfId="4" applyFont="1" applyFill="1" applyBorder="1" applyAlignment="1">
      <alignment horizontal="center" vertical="center"/>
    </xf>
    <xf numFmtId="0" fontId="4" fillId="3" borderId="2" xfId="4" applyFont="1" applyFill="1" applyBorder="1" applyAlignment="1">
      <alignment horizontal="center" vertical="center"/>
    </xf>
    <xf numFmtId="0" fontId="4" fillId="3" borderId="3" xfId="4" applyFont="1" applyFill="1" applyBorder="1" applyAlignment="1">
      <alignment horizontal="center" vertical="center"/>
    </xf>
    <xf numFmtId="0" fontId="4" fillId="3" borderId="4" xfId="4" applyFont="1" applyFill="1" applyBorder="1" applyAlignment="1">
      <alignment horizontal="center" vertical="center"/>
    </xf>
    <xf numFmtId="0" fontId="4" fillId="3" borderId="0" xfId="4" applyFont="1" applyFill="1" applyBorder="1" applyAlignment="1">
      <alignment horizontal="center" vertical="center"/>
    </xf>
    <xf numFmtId="0" fontId="4" fillId="3" borderId="5" xfId="4" applyFont="1" applyFill="1" applyBorder="1" applyAlignment="1">
      <alignment horizontal="center" vertical="center"/>
    </xf>
    <xf numFmtId="0" fontId="14" fillId="18" borderId="0" xfId="4" applyFont="1" applyFill="1" applyBorder="1" applyAlignment="1" applyProtection="1">
      <alignment horizontal="left" vertical="center" wrapText="1"/>
      <protection locked="0"/>
    </xf>
    <xf numFmtId="0" fontId="14" fillId="18" borderId="5" xfId="4" applyFont="1" applyFill="1" applyBorder="1" applyAlignment="1" applyProtection="1">
      <alignment horizontal="left" vertical="center" wrapText="1"/>
      <protection locked="0"/>
    </xf>
    <xf numFmtId="9" fontId="19" fillId="5" borderId="0" xfId="3" applyFont="1" applyFill="1" applyBorder="1" applyAlignment="1">
      <alignment horizontal="center"/>
    </xf>
    <xf numFmtId="9" fontId="19" fillId="5" borderId="13" xfId="3" applyFont="1" applyFill="1" applyBorder="1" applyAlignment="1">
      <alignment horizontal="center"/>
    </xf>
    <xf numFmtId="165" fontId="19" fillId="6" borderId="10" xfId="1" applyNumberFormat="1" applyFont="1" applyFill="1" applyBorder="1" applyAlignment="1">
      <alignment horizontal="center" vertical="center"/>
    </xf>
    <xf numFmtId="0" fontId="19" fillId="6" borderId="10" xfId="0" applyFont="1" applyFill="1" applyBorder="1" applyAlignment="1">
      <alignment horizontal="center" vertical="center" wrapText="1"/>
    </xf>
    <xf numFmtId="0" fontId="19" fillId="6" borderId="11" xfId="0" applyFont="1" applyFill="1" applyBorder="1" applyAlignment="1">
      <alignment horizontal="center" vertical="center" wrapText="1"/>
    </xf>
    <xf numFmtId="0" fontId="4" fillId="9" borderId="1" xfId="0" applyFont="1" applyFill="1" applyBorder="1" applyAlignment="1">
      <alignment horizontal="center" vertical="center" wrapText="1"/>
    </xf>
    <xf numFmtId="0" fontId="4" fillId="9" borderId="2" xfId="0" applyFont="1" applyFill="1" applyBorder="1" applyAlignment="1">
      <alignment horizontal="center" vertical="center" wrapText="1"/>
    </xf>
    <xf numFmtId="0" fontId="4" fillId="9" borderId="3" xfId="0" applyFont="1" applyFill="1" applyBorder="1" applyAlignment="1">
      <alignment horizontal="center" vertical="center" wrapText="1"/>
    </xf>
    <xf numFmtId="0" fontId="19" fillId="5" borderId="0" xfId="0" applyFont="1" applyFill="1" applyBorder="1" applyAlignment="1">
      <alignment horizontal="left"/>
    </xf>
    <xf numFmtId="0" fontId="19" fillId="6" borderId="9" xfId="0" applyFont="1" applyFill="1" applyBorder="1" applyAlignment="1">
      <alignment horizontal="left" vertical="center"/>
    </xf>
    <xf numFmtId="0" fontId="19" fillId="6" borderId="10" xfId="0" applyFont="1" applyFill="1" applyBorder="1" applyAlignment="1">
      <alignment horizontal="left" vertical="center"/>
    </xf>
    <xf numFmtId="0" fontId="19" fillId="5" borderId="0" xfId="0" applyFont="1" applyFill="1" applyBorder="1" applyAlignment="1">
      <alignment horizontal="center"/>
    </xf>
    <xf numFmtId="0" fontId="19" fillId="5" borderId="13" xfId="0" applyFont="1" applyFill="1" applyBorder="1" applyAlignment="1">
      <alignment horizontal="center"/>
    </xf>
    <xf numFmtId="0" fontId="19" fillId="5" borderId="15" xfId="0" applyFont="1" applyFill="1" applyBorder="1" applyAlignment="1">
      <alignment horizontal="center"/>
    </xf>
    <xf numFmtId="0" fontId="19" fillId="5" borderId="16" xfId="0" applyFont="1" applyFill="1" applyBorder="1" applyAlignment="1">
      <alignment horizontal="center"/>
    </xf>
    <xf numFmtId="0" fontId="19" fillId="6" borderId="10" xfId="0" applyFont="1" applyFill="1" applyBorder="1" applyAlignment="1">
      <alignment horizontal="center" vertical="center"/>
    </xf>
    <xf numFmtId="0" fontId="19" fillId="6" borderId="11" xfId="0" applyFont="1" applyFill="1" applyBorder="1" applyAlignment="1">
      <alignment horizontal="center" vertical="center"/>
    </xf>
    <xf numFmtId="10" fontId="14" fillId="18" borderId="0" xfId="3" applyNumberFormat="1" applyFont="1" applyFill="1" applyBorder="1" applyAlignment="1" applyProtection="1">
      <alignment horizontal="center"/>
      <protection locked="0"/>
    </xf>
    <xf numFmtId="44" fontId="14" fillId="18" borderId="15" xfId="2" applyFont="1" applyFill="1" applyBorder="1" applyAlignment="1" applyProtection="1">
      <alignment horizontal="center"/>
      <protection locked="0"/>
    </xf>
    <xf numFmtId="165" fontId="21" fillId="5" borderId="0" xfId="1" applyNumberFormat="1" applyFont="1" applyFill="1" applyBorder="1" applyAlignment="1">
      <alignment horizontal="center"/>
    </xf>
    <xf numFmtId="44" fontId="19" fillId="5" borderId="0" xfId="2" applyFont="1" applyFill="1" applyBorder="1" applyAlignment="1">
      <alignment horizontal="center"/>
    </xf>
    <xf numFmtId="44" fontId="19" fillId="5" borderId="13" xfId="2" applyFont="1" applyFill="1" applyBorder="1" applyAlignment="1">
      <alignment horizontal="center"/>
    </xf>
    <xf numFmtId="165" fontId="19" fillId="6" borderId="10" xfId="1" applyNumberFormat="1" applyFont="1" applyFill="1" applyBorder="1" applyAlignment="1">
      <alignment horizontal="center" vertical="center" wrapText="1"/>
    </xf>
    <xf numFmtId="165" fontId="14" fillId="18" borderId="0" xfId="1" applyNumberFormat="1" applyFont="1" applyFill="1" applyBorder="1" applyAlignment="1" applyProtection="1">
      <alignment horizontal="center"/>
      <protection locked="0"/>
    </xf>
    <xf numFmtId="165" fontId="14" fillId="18" borderId="15" xfId="1" applyNumberFormat="1" applyFont="1" applyFill="1" applyBorder="1" applyAlignment="1" applyProtection="1">
      <alignment horizontal="center"/>
      <protection locked="0"/>
    </xf>
    <xf numFmtId="44" fontId="19" fillId="5" borderId="15" xfId="2" applyFont="1" applyFill="1" applyBorder="1" applyAlignment="1">
      <alignment horizontal="center"/>
    </xf>
    <xf numFmtId="44" fontId="19" fillId="5" borderId="16" xfId="2" applyFont="1" applyFill="1" applyBorder="1" applyAlignment="1">
      <alignment horizontal="center"/>
    </xf>
    <xf numFmtId="0" fontId="19" fillId="6" borderId="9" xfId="0" applyFont="1" applyFill="1" applyBorder="1" applyAlignment="1">
      <alignment horizontal="left" vertical="center" wrapText="1"/>
    </xf>
    <xf numFmtId="0" fontId="19" fillId="6" borderId="10" xfId="0" applyFont="1" applyFill="1" applyBorder="1" applyAlignment="1">
      <alignment horizontal="left" vertical="center" wrapText="1"/>
    </xf>
    <xf numFmtId="0" fontId="19" fillId="5" borderId="12" xfId="0" applyFont="1" applyFill="1" applyBorder="1" applyAlignment="1">
      <alignment horizontal="left"/>
    </xf>
    <xf numFmtId="44" fontId="20" fillId="23" borderId="32" xfId="2" applyFont="1" applyFill="1" applyBorder="1" applyAlignment="1">
      <alignment horizontal="center"/>
    </xf>
    <xf numFmtId="44" fontId="14" fillId="18" borderId="0" xfId="2" applyFont="1" applyFill="1" applyBorder="1" applyAlignment="1" applyProtection="1">
      <alignment horizontal="center"/>
      <protection locked="0"/>
    </xf>
    <xf numFmtId="165" fontId="19" fillId="6" borderId="11" xfId="1" applyNumberFormat="1" applyFont="1" applyFill="1" applyBorder="1" applyAlignment="1">
      <alignment horizontal="center" vertical="center"/>
    </xf>
    <xf numFmtId="165" fontId="20" fillId="23" borderId="32" xfId="1" applyNumberFormat="1" applyFont="1" applyFill="1" applyBorder="1" applyAlignment="1">
      <alignment horizontal="center"/>
    </xf>
    <xf numFmtId="165" fontId="19" fillId="5" borderId="0" xfId="1" applyNumberFormat="1" applyFont="1" applyFill="1" applyBorder="1" applyAlignment="1">
      <alignment horizontal="center"/>
    </xf>
    <xf numFmtId="0" fontId="19" fillId="5" borderId="14" xfId="0" applyFont="1" applyFill="1" applyBorder="1" applyAlignment="1">
      <alignment horizontal="left"/>
    </xf>
    <xf numFmtId="0" fontId="19" fillId="5" borderId="15" xfId="0" applyFont="1" applyFill="1" applyBorder="1" applyAlignment="1">
      <alignment horizontal="left"/>
    </xf>
    <xf numFmtId="49" fontId="18" fillId="18" borderId="14" xfId="0" applyNumberFormat="1" applyFont="1" applyFill="1" applyBorder="1" applyAlignment="1" applyProtection="1">
      <alignment horizontal="left"/>
      <protection locked="0"/>
    </xf>
    <xf numFmtId="49" fontId="18" fillId="18" borderId="15" xfId="0" applyNumberFormat="1" applyFont="1" applyFill="1" applyBorder="1" applyAlignment="1" applyProtection="1">
      <alignment horizontal="left"/>
      <protection locked="0"/>
    </xf>
    <xf numFmtId="49" fontId="18" fillId="18" borderId="16" xfId="0" applyNumberFormat="1" applyFont="1" applyFill="1" applyBorder="1" applyAlignment="1" applyProtection="1">
      <alignment horizontal="left"/>
      <protection locked="0"/>
    </xf>
    <xf numFmtId="0" fontId="19" fillId="6" borderId="11" xfId="0" applyFont="1" applyFill="1" applyBorder="1" applyAlignment="1">
      <alignment horizontal="left" vertical="center"/>
    </xf>
    <xf numFmtId="0" fontId="5" fillId="9" borderId="1" xfId="0" applyFont="1" applyFill="1" applyBorder="1" applyAlignment="1">
      <alignment horizontal="center" vertical="center" wrapText="1"/>
    </xf>
    <xf numFmtId="0" fontId="5" fillId="9" borderId="2" xfId="0" applyFont="1" applyFill="1" applyBorder="1" applyAlignment="1">
      <alignment horizontal="center" vertical="center" wrapText="1"/>
    </xf>
    <xf numFmtId="0" fontId="5" fillId="9" borderId="3" xfId="0" applyFont="1" applyFill="1" applyBorder="1" applyAlignment="1">
      <alignment horizontal="center" vertical="center" wrapText="1"/>
    </xf>
    <xf numFmtId="0" fontId="67" fillId="27" borderId="29" xfId="0" applyFont="1" applyFill="1" applyBorder="1" applyAlignment="1">
      <alignment horizontal="center" vertical="center"/>
    </xf>
    <xf numFmtId="9" fontId="19" fillId="5" borderId="15" xfId="3" applyFont="1" applyFill="1" applyBorder="1" applyAlignment="1">
      <alignment horizontal="center"/>
    </xf>
    <xf numFmtId="9" fontId="19" fillId="5" borderId="16" xfId="3" applyFont="1" applyFill="1" applyBorder="1" applyAlignment="1">
      <alignment horizontal="center"/>
    </xf>
    <xf numFmtId="9" fontId="14" fillId="18" borderId="15" xfId="3" applyFont="1" applyFill="1" applyBorder="1" applyAlignment="1" applyProtection="1">
      <alignment horizontal="center"/>
      <protection locked="0"/>
    </xf>
    <xf numFmtId="9" fontId="14" fillId="18" borderId="0" xfId="3" applyFont="1" applyFill="1" applyBorder="1" applyAlignment="1" applyProtection="1">
      <alignment horizontal="center"/>
      <protection locked="0"/>
    </xf>
    <xf numFmtId="44" fontId="19" fillId="5" borderId="15" xfId="0" applyNumberFormat="1" applyFont="1" applyFill="1" applyBorder="1" applyAlignment="1">
      <alignment horizontal="center"/>
    </xf>
    <xf numFmtId="1" fontId="14" fillId="18" borderId="15" xfId="1" applyNumberFormat="1" applyFont="1" applyFill="1" applyBorder="1" applyAlignment="1" applyProtection="1">
      <alignment horizontal="center"/>
      <protection locked="0"/>
    </xf>
    <xf numFmtId="0" fontId="5" fillId="3" borderId="17" xfId="0" applyFont="1" applyFill="1" applyBorder="1" applyAlignment="1">
      <alignment horizontal="center" vertical="center" wrapText="1"/>
    </xf>
    <xf numFmtId="0" fontId="5" fillId="3" borderId="18" xfId="0" applyFont="1" applyFill="1" applyBorder="1" applyAlignment="1">
      <alignment horizontal="center" vertical="center" wrapText="1"/>
    </xf>
    <xf numFmtId="0" fontId="5" fillId="3" borderId="19" xfId="0" applyFont="1" applyFill="1" applyBorder="1" applyAlignment="1">
      <alignment horizontal="center" vertical="center" wrapText="1"/>
    </xf>
    <xf numFmtId="0" fontId="4" fillId="3" borderId="17" xfId="0" applyFont="1" applyFill="1" applyBorder="1" applyAlignment="1">
      <alignment horizontal="center" vertical="center" wrapText="1"/>
    </xf>
    <xf numFmtId="0" fontId="4" fillId="3" borderId="19" xfId="0" applyFont="1" applyFill="1" applyBorder="1" applyAlignment="1">
      <alignment horizontal="center" vertical="center" wrapText="1"/>
    </xf>
    <xf numFmtId="0" fontId="58" fillId="27" borderId="29" xfId="0" applyFont="1" applyFill="1" applyBorder="1" applyAlignment="1">
      <alignment horizontal="center" vertical="center"/>
    </xf>
    <xf numFmtId="0" fontId="43" fillId="3" borderId="10" xfId="0" applyFont="1" applyFill="1" applyBorder="1" applyAlignment="1">
      <alignment horizontal="left" vertical="center" wrapText="1"/>
    </xf>
    <xf numFmtId="0" fontId="43" fillId="3" borderId="11" xfId="0" applyFont="1" applyFill="1" applyBorder="1" applyAlignment="1">
      <alignment horizontal="left" vertical="center" wrapText="1"/>
    </xf>
    <xf numFmtId="165" fontId="16" fillId="6" borderId="0" xfId="0" applyNumberFormat="1" applyFont="1" applyFill="1" applyBorder="1" applyAlignment="1">
      <alignment horizontal="center" vertical="center"/>
    </xf>
    <xf numFmtId="165" fontId="16" fillId="6" borderId="13" xfId="0" applyNumberFormat="1" applyFont="1" applyFill="1" applyBorder="1" applyAlignment="1">
      <alignment horizontal="center" vertical="center"/>
    </xf>
    <xf numFmtId="0" fontId="4" fillId="3" borderId="18" xfId="0" applyFont="1" applyFill="1" applyBorder="1" applyAlignment="1">
      <alignment horizontal="center" vertical="center" wrapText="1"/>
    </xf>
    <xf numFmtId="1" fontId="16" fillId="6" borderId="0" xfId="0" applyNumberFormat="1" applyFont="1" applyFill="1" applyBorder="1" applyAlignment="1">
      <alignment horizontal="center" vertical="center"/>
    </xf>
    <xf numFmtId="1" fontId="16" fillId="6" borderId="13" xfId="0" applyNumberFormat="1" applyFont="1" applyFill="1" applyBorder="1" applyAlignment="1">
      <alignment horizontal="center" vertical="center"/>
    </xf>
    <xf numFmtId="0" fontId="16" fillId="6" borderId="13" xfId="0" applyFont="1" applyFill="1" applyBorder="1" applyAlignment="1">
      <alignment horizontal="center" vertical="center"/>
    </xf>
    <xf numFmtId="0" fontId="16" fillId="6" borderId="0" xfId="0" applyFont="1" applyFill="1" applyBorder="1" applyAlignment="1">
      <alignment horizontal="center" vertical="center"/>
    </xf>
    <xf numFmtId="2" fontId="16" fillId="6" borderId="0" xfId="0" applyNumberFormat="1" applyFont="1" applyFill="1" applyBorder="1" applyAlignment="1">
      <alignment horizontal="center" vertical="center"/>
    </xf>
    <xf numFmtId="2" fontId="16" fillId="6" borderId="13" xfId="0" applyNumberFormat="1" applyFont="1" applyFill="1" applyBorder="1" applyAlignment="1">
      <alignment horizontal="center" vertical="center"/>
    </xf>
    <xf numFmtId="165" fontId="16" fillId="6" borderId="15" xfId="0" applyNumberFormat="1" applyFont="1" applyFill="1" applyBorder="1" applyAlignment="1">
      <alignment horizontal="center" vertical="center"/>
    </xf>
    <xf numFmtId="0" fontId="16" fillId="6" borderId="16" xfId="0" applyFont="1" applyFill="1" applyBorder="1" applyAlignment="1">
      <alignment horizontal="center" vertical="center"/>
    </xf>
    <xf numFmtId="165" fontId="16" fillId="6" borderId="16" xfId="0" applyNumberFormat="1" applyFont="1" applyFill="1" applyBorder="1" applyAlignment="1">
      <alignment horizontal="center" vertical="center"/>
    </xf>
    <xf numFmtId="0" fontId="6" fillId="5" borderId="0" xfId="0" applyFont="1" applyFill="1" applyBorder="1" applyAlignment="1">
      <alignment horizontal="left" vertical="center"/>
    </xf>
    <xf numFmtId="1" fontId="16" fillId="6" borderId="15" xfId="0" applyNumberFormat="1" applyFont="1" applyFill="1" applyBorder="1" applyAlignment="1">
      <alignment horizontal="center" vertical="center"/>
    </xf>
    <xf numFmtId="1" fontId="16" fillId="6" borderId="16" xfId="0" applyNumberFormat="1" applyFont="1" applyFill="1" applyBorder="1" applyAlignment="1">
      <alignment horizontal="center" vertical="center"/>
    </xf>
    <xf numFmtId="1" fontId="16" fillId="6" borderId="10" xfId="0" applyNumberFormat="1" applyFont="1" applyFill="1" applyBorder="1" applyAlignment="1">
      <alignment horizontal="center" vertical="center"/>
    </xf>
    <xf numFmtId="1" fontId="16" fillId="6" borderId="11" xfId="0" applyNumberFormat="1" applyFont="1" applyFill="1" applyBorder="1" applyAlignment="1">
      <alignment horizontal="center" vertical="center"/>
    </xf>
    <xf numFmtId="165" fontId="16" fillId="6" borderId="0" xfId="2" applyNumberFormat="1" applyFont="1" applyFill="1" applyBorder="1" applyAlignment="1">
      <alignment horizontal="center" vertical="center"/>
    </xf>
    <xf numFmtId="165" fontId="16" fillId="6" borderId="13" xfId="2" applyNumberFormat="1" applyFont="1" applyFill="1" applyBorder="1" applyAlignment="1">
      <alignment horizontal="center" vertical="center"/>
    </xf>
    <xf numFmtId="2" fontId="16" fillId="6" borderId="0" xfId="2" applyNumberFormat="1" applyFont="1" applyFill="1" applyBorder="1" applyAlignment="1">
      <alignment horizontal="center" vertical="center"/>
    </xf>
    <xf numFmtId="2" fontId="16" fillId="6" borderId="13" xfId="2" applyNumberFormat="1" applyFont="1" applyFill="1" applyBorder="1" applyAlignment="1">
      <alignment horizontal="center" vertical="center"/>
    </xf>
    <xf numFmtId="0" fontId="47" fillId="19" borderId="37" xfId="0" applyFont="1" applyFill="1" applyBorder="1" applyAlignment="1">
      <alignment horizontal="center" vertical="center" textRotation="255"/>
    </xf>
    <xf numFmtId="0" fontId="47" fillId="19" borderId="27" xfId="0" applyFont="1" applyFill="1" applyBorder="1" applyAlignment="1">
      <alignment horizontal="center" vertical="center" textRotation="255"/>
    </xf>
    <xf numFmtId="0" fontId="47" fillId="19" borderId="38" xfId="0" applyFont="1" applyFill="1" applyBorder="1" applyAlignment="1">
      <alignment horizontal="center" vertical="center" textRotation="255"/>
    </xf>
    <xf numFmtId="0" fontId="47" fillId="15" borderId="37" xfId="0" applyFont="1" applyFill="1" applyBorder="1" applyAlignment="1">
      <alignment horizontal="center" vertical="center" textRotation="255"/>
    </xf>
    <xf numFmtId="0" fontId="47" fillId="15" borderId="27" xfId="0" applyFont="1" applyFill="1" applyBorder="1" applyAlignment="1">
      <alignment horizontal="center" vertical="center" textRotation="255"/>
    </xf>
    <xf numFmtId="0" fontId="47" fillId="15" borderId="38" xfId="0" applyFont="1" applyFill="1" applyBorder="1" applyAlignment="1">
      <alignment horizontal="center" vertical="center" textRotation="255"/>
    </xf>
    <xf numFmtId="0" fontId="47" fillId="14" borderId="37" xfId="0" applyFont="1" applyFill="1" applyBorder="1" applyAlignment="1">
      <alignment horizontal="center" vertical="center" textRotation="255"/>
    </xf>
    <xf numFmtId="0" fontId="47" fillId="14" borderId="27" xfId="0" applyFont="1" applyFill="1" applyBorder="1" applyAlignment="1">
      <alignment horizontal="center" vertical="center" textRotation="255"/>
    </xf>
    <xf numFmtId="0" fontId="47" fillId="14" borderId="38" xfId="0" applyFont="1" applyFill="1" applyBorder="1" applyAlignment="1">
      <alignment horizontal="center" vertical="center" textRotation="255"/>
    </xf>
    <xf numFmtId="0" fontId="47" fillId="13" borderId="37" xfId="0" applyFont="1" applyFill="1" applyBorder="1" applyAlignment="1">
      <alignment horizontal="center" vertical="center" textRotation="255"/>
    </xf>
    <xf numFmtId="0" fontId="47" fillId="13" borderId="27" xfId="0" applyFont="1" applyFill="1" applyBorder="1" applyAlignment="1">
      <alignment horizontal="center" vertical="center" textRotation="255"/>
    </xf>
    <xf numFmtId="0" fontId="47" fillId="13" borderId="38" xfId="0" applyFont="1" applyFill="1" applyBorder="1" applyAlignment="1">
      <alignment horizontal="center" vertical="center" textRotation="255"/>
    </xf>
    <xf numFmtId="0" fontId="47" fillId="12" borderId="37" xfId="0" applyFont="1" applyFill="1" applyBorder="1" applyAlignment="1">
      <alignment horizontal="center" vertical="center" textRotation="255"/>
    </xf>
    <xf numFmtId="0" fontId="47" fillId="12" borderId="27" xfId="0" applyFont="1" applyFill="1" applyBorder="1" applyAlignment="1">
      <alignment horizontal="center" vertical="center" textRotation="255"/>
    </xf>
    <xf numFmtId="0" fontId="47" fillId="12" borderId="38" xfId="0" applyFont="1" applyFill="1" applyBorder="1" applyAlignment="1">
      <alignment horizontal="center" vertical="center" textRotation="255"/>
    </xf>
    <xf numFmtId="0" fontId="48" fillId="11" borderId="37" xfId="0" applyFont="1" applyFill="1" applyBorder="1" applyAlignment="1">
      <alignment horizontal="center" vertical="center" textRotation="255"/>
    </xf>
    <xf numFmtId="0" fontId="48" fillId="11" borderId="27" xfId="0" applyFont="1" applyFill="1" applyBorder="1" applyAlignment="1">
      <alignment horizontal="center" vertical="center" textRotation="255"/>
    </xf>
    <xf numFmtId="0" fontId="48" fillId="11" borderId="38" xfId="0" applyFont="1" applyFill="1" applyBorder="1" applyAlignment="1">
      <alignment horizontal="center" vertical="center" textRotation="255"/>
    </xf>
    <xf numFmtId="0" fontId="47" fillId="5" borderId="37" xfId="0" applyFont="1" applyFill="1" applyBorder="1" applyAlignment="1">
      <alignment horizontal="center" vertical="center" textRotation="255"/>
    </xf>
    <xf numFmtId="0" fontId="47" fillId="5" borderId="27" xfId="0" applyFont="1" applyFill="1" applyBorder="1" applyAlignment="1">
      <alignment horizontal="center" vertical="center" textRotation="255"/>
    </xf>
    <xf numFmtId="0" fontId="47" fillId="5" borderId="38" xfId="0" applyFont="1" applyFill="1" applyBorder="1" applyAlignment="1">
      <alignment horizontal="center" vertical="center" textRotation="255"/>
    </xf>
    <xf numFmtId="0" fontId="47" fillId="5" borderId="3" xfId="0" applyFont="1" applyFill="1" applyBorder="1" applyAlignment="1">
      <alignment horizontal="center" vertical="center" textRotation="255" wrapText="1"/>
    </xf>
    <xf numFmtId="0" fontId="47" fillId="5" borderId="5" xfId="0" applyFont="1" applyFill="1" applyBorder="1" applyAlignment="1">
      <alignment horizontal="center" vertical="center" textRotation="255" wrapText="1"/>
    </xf>
    <xf numFmtId="0" fontId="47" fillId="5" borderId="8" xfId="0" applyFont="1" applyFill="1" applyBorder="1" applyAlignment="1">
      <alignment horizontal="center" vertical="center" textRotation="255" wrapText="1"/>
    </xf>
    <xf numFmtId="49" fontId="32" fillId="5" borderId="0" xfId="0" applyNumberFormat="1" applyFont="1" applyFill="1" applyBorder="1" applyAlignment="1">
      <alignment horizontal="center" vertical="center"/>
    </xf>
    <xf numFmtId="49" fontId="5" fillId="9" borderId="17" xfId="0" applyNumberFormat="1" applyFont="1" applyFill="1" applyBorder="1" applyAlignment="1">
      <alignment horizontal="center" vertical="center"/>
    </xf>
    <xf numFmtId="49" fontId="5" fillId="9" borderId="18" xfId="0" applyNumberFormat="1" applyFont="1" applyFill="1" applyBorder="1" applyAlignment="1">
      <alignment horizontal="center" vertical="center"/>
    </xf>
    <xf numFmtId="49" fontId="5" fillId="9" borderId="19" xfId="0" applyNumberFormat="1" applyFont="1" applyFill="1" applyBorder="1" applyAlignment="1">
      <alignment horizontal="center" vertical="center"/>
    </xf>
    <xf numFmtId="0" fontId="5" fillId="3" borderId="17" xfId="0" applyFont="1" applyFill="1" applyBorder="1" applyAlignment="1">
      <alignment horizontal="center" vertical="center"/>
    </xf>
    <xf numFmtId="0" fontId="5" fillId="3" borderId="18" xfId="0" applyFont="1" applyFill="1" applyBorder="1" applyAlignment="1">
      <alignment horizontal="center" vertical="center"/>
    </xf>
    <xf numFmtId="0" fontId="5" fillId="3" borderId="19" xfId="0" applyFont="1" applyFill="1" applyBorder="1" applyAlignment="1">
      <alignment horizontal="center" vertical="center"/>
    </xf>
    <xf numFmtId="0" fontId="29" fillId="11" borderId="17" xfId="0" applyFont="1" applyFill="1" applyBorder="1" applyAlignment="1">
      <alignment horizontal="center" vertical="center"/>
    </xf>
    <xf numFmtId="0" fontId="29" fillId="11" borderId="18" xfId="0" applyFont="1" applyFill="1" applyBorder="1" applyAlignment="1">
      <alignment horizontal="center" vertical="center"/>
    </xf>
    <xf numFmtId="0" fontId="29" fillId="11" borderId="19" xfId="0" applyFont="1" applyFill="1" applyBorder="1" applyAlignment="1">
      <alignment horizontal="center" vertical="center"/>
    </xf>
    <xf numFmtId="0" fontId="29" fillId="12" borderId="17" xfId="0" applyFont="1" applyFill="1" applyBorder="1" applyAlignment="1">
      <alignment horizontal="center" vertical="center"/>
    </xf>
    <xf numFmtId="0" fontId="29" fillId="12" borderId="18" xfId="0" applyFont="1" applyFill="1" applyBorder="1" applyAlignment="1">
      <alignment horizontal="center" vertical="center"/>
    </xf>
    <xf numFmtId="0" fontId="29" fillId="12" borderId="19" xfId="0" applyFont="1" applyFill="1" applyBorder="1" applyAlignment="1">
      <alignment horizontal="center" vertical="center"/>
    </xf>
    <xf numFmtId="0" fontId="29" fillId="13" borderId="17" xfId="0" applyFont="1" applyFill="1" applyBorder="1" applyAlignment="1">
      <alignment horizontal="center" vertical="center"/>
    </xf>
    <xf numFmtId="0" fontId="29" fillId="13" borderId="18" xfId="0" applyFont="1" applyFill="1" applyBorder="1" applyAlignment="1">
      <alignment horizontal="center" vertical="center"/>
    </xf>
    <xf numFmtId="0" fontId="29" fillId="13" borderId="19" xfId="0" applyFont="1" applyFill="1" applyBorder="1" applyAlignment="1">
      <alignment horizontal="center" vertical="center"/>
    </xf>
    <xf numFmtId="0" fontId="29" fillId="14" borderId="17" xfId="0" applyFont="1" applyFill="1" applyBorder="1" applyAlignment="1">
      <alignment horizontal="center" vertical="center"/>
    </xf>
    <xf numFmtId="0" fontId="29" fillId="14" borderId="18" xfId="0" applyFont="1" applyFill="1" applyBorder="1" applyAlignment="1">
      <alignment horizontal="center" vertical="center"/>
    </xf>
    <xf numFmtId="0" fontId="29" fillId="14" borderId="19" xfId="0" applyFont="1" applyFill="1" applyBorder="1" applyAlignment="1">
      <alignment horizontal="center" vertical="center"/>
    </xf>
    <xf numFmtId="0" fontId="29" fillId="15" borderId="17" xfId="0" applyFont="1" applyFill="1" applyBorder="1" applyAlignment="1">
      <alignment horizontal="center" vertical="center"/>
    </xf>
    <xf numFmtId="0" fontId="29" fillId="15" borderId="18" xfId="0" applyFont="1" applyFill="1" applyBorder="1" applyAlignment="1">
      <alignment horizontal="center" vertical="center"/>
    </xf>
    <xf numFmtId="0" fontId="29" fillId="15" borderId="19" xfId="0" applyFont="1" applyFill="1" applyBorder="1" applyAlignment="1">
      <alignment horizontal="center" vertical="center"/>
    </xf>
    <xf numFmtId="0" fontId="29" fillId="19" borderId="17" xfId="0" applyFont="1" applyFill="1" applyBorder="1" applyAlignment="1">
      <alignment horizontal="center" vertical="center"/>
    </xf>
    <xf numFmtId="0" fontId="29" fillId="19" borderId="18" xfId="0" applyFont="1" applyFill="1" applyBorder="1" applyAlignment="1">
      <alignment horizontal="center" vertical="center"/>
    </xf>
    <xf numFmtId="0" fontId="29" fillId="19" borderId="19" xfId="0" applyFont="1" applyFill="1" applyBorder="1" applyAlignment="1">
      <alignment horizontal="center" vertical="center"/>
    </xf>
    <xf numFmtId="49" fontId="32" fillId="5" borderId="7" xfId="0" applyNumberFormat="1" applyFont="1" applyFill="1" applyBorder="1" applyAlignment="1">
      <alignment horizontal="center" vertical="center"/>
    </xf>
    <xf numFmtId="49" fontId="32" fillId="5" borderId="2" xfId="0" applyNumberFormat="1" applyFont="1" applyFill="1" applyBorder="1" applyAlignment="1">
      <alignment horizontal="center" vertical="center"/>
    </xf>
    <xf numFmtId="0" fontId="37" fillId="5" borderId="4" xfId="0" applyFont="1" applyFill="1" applyBorder="1" applyAlignment="1">
      <alignment horizontal="left" vertical="center"/>
    </xf>
    <xf numFmtId="0" fontId="37" fillId="5" borderId="0" xfId="0" applyFont="1" applyFill="1" applyBorder="1" applyAlignment="1">
      <alignment horizontal="left" vertical="center"/>
    </xf>
    <xf numFmtId="0" fontId="37" fillId="5" borderId="5" xfId="0" applyFont="1" applyFill="1" applyBorder="1" applyAlignment="1">
      <alignment horizontal="left" vertical="center"/>
    </xf>
    <xf numFmtId="0" fontId="37" fillId="5" borderId="1" xfId="0" applyFont="1" applyFill="1" applyBorder="1" applyAlignment="1">
      <alignment horizontal="left" vertical="center"/>
    </xf>
    <xf numFmtId="0" fontId="37" fillId="5" borderId="2" xfId="0" applyFont="1" applyFill="1" applyBorder="1" applyAlignment="1">
      <alignment horizontal="left" vertical="center"/>
    </xf>
    <xf numFmtId="0" fontId="37" fillId="5" borderId="3" xfId="0" applyFont="1" applyFill="1" applyBorder="1" applyAlignment="1">
      <alignment horizontal="left" vertical="center"/>
    </xf>
    <xf numFmtId="49" fontId="29" fillId="5" borderId="0" xfId="0" applyNumberFormat="1" applyFont="1" applyFill="1" applyBorder="1" applyAlignment="1">
      <alignment horizontal="center" wrapText="1"/>
    </xf>
    <xf numFmtId="49" fontId="5" fillId="8" borderId="18" xfId="0" applyNumberFormat="1" applyFont="1" applyFill="1" applyBorder="1" applyAlignment="1">
      <alignment horizontal="center" vertical="center" wrapText="1"/>
    </xf>
    <xf numFmtId="49" fontId="5" fillId="3" borderId="17" xfId="0" applyNumberFormat="1" applyFont="1" applyFill="1" applyBorder="1" applyAlignment="1">
      <alignment horizontal="center" vertical="center"/>
    </xf>
    <xf numFmtId="49" fontId="5" fillId="3" borderId="18" xfId="0" applyNumberFormat="1" applyFont="1" applyFill="1" applyBorder="1" applyAlignment="1">
      <alignment horizontal="center" vertical="center"/>
    </xf>
    <xf numFmtId="0" fontId="29" fillId="5" borderId="2" xfId="0" applyFont="1" applyFill="1" applyBorder="1" applyAlignment="1">
      <alignment horizontal="center" vertical="center" wrapText="1"/>
    </xf>
    <xf numFmtId="0" fontId="29" fillId="5" borderId="7" xfId="0" applyFont="1" applyFill="1" applyBorder="1" applyAlignment="1">
      <alignment horizontal="center" vertical="center" wrapText="1"/>
    </xf>
    <xf numFmtId="0" fontId="23" fillId="5" borderId="12" xfId="0" applyFont="1" applyFill="1" applyBorder="1" applyAlignment="1">
      <alignment horizontal="left" vertical="center" wrapText="1"/>
    </xf>
    <xf numFmtId="0" fontId="23" fillId="5" borderId="0" xfId="0" applyFont="1" applyFill="1" applyBorder="1" applyAlignment="1">
      <alignment horizontal="left" vertical="center" wrapText="1"/>
    </xf>
    <xf numFmtId="0" fontId="4" fillId="8" borderId="17" xfId="0" applyFont="1" applyFill="1" applyBorder="1" applyAlignment="1">
      <alignment horizontal="center" vertical="center" wrapText="1"/>
    </xf>
    <xf numFmtId="0" fontId="4" fillId="8" borderId="18" xfId="0" applyFont="1" applyFill="1" applyBorder="1" applyAlignment="1">
      <alignment horizontal="center" vertical="center" wrapText="1"/>
    </xf>
    <xf numFmtId="0" fontId="4" fillId="8" borderId="19" xfId="0" applyFont="1" applyFill="1" applyBorder="1" applyAlignment="1">
      <alignment horizontal="center" vertical="center" wrapText="1"/>
    </xf>
    <xf numFmtId="0" fontId="23" fillId="5" borderId="9" xfId="0" applyFont="1" applyFill="1" applyBorder="1" applyAlignment="1">
      <alignment horizontal="left" vertical="center" wrapText="1"/>
    </xf>
    <xf numFmtId="0" fontId="23" fillId="5" borderId="10" xfId="0" applyFont="1" applyFill="1" applyBorder="1" applyAlignment="1">
      <alignment horizontal="left" vertical="center" wrapText="1"/>
    </xf>
    <xf numFmtId="0" fontId="5" fillId="9" borderId="17" xfId="0" applyFont="1" applyFill="1" applyBorder="1" applyAlignment="1">
      <alignment horizontal="center" vertical="center" wrapText="1"/>
    </xf>
    <xf numFmtId="0" fontId="5" fillId="9" borderId="18" xfId="0" applyFont="1" applyFill="1" applyBorder="1" applyAlignment="1">
      <alignment horizontal="center" vertical="center" wrapText="1"/>
    </xf>
    <xf numFmtId="0" fontId="5" fillId="9" borderId="19" xfId="0" applyFont="1" applyFill="1" applyBorder="1" applyAlignment="1">
      <alignment horizontal="center" vertical="center" wrapText="1"/>
    </xf>
    <xf numFmtId="0" fontId="4" fillId="3" borderId="6" xfId="0" applyFont="1" applyFill="1" applyBorder="1" applyAlignment="1">
      <alignment horizontal="right" vertical="center" wrapText="1"/>
    </xf>
    <xf numFmtId="0" fontId="4" fillId="3" borderId="7" xfId="0" applyFont="1" applyFill="1" applyBorder="1" applyAlignment="1">
      <alignment horizontal="right" vertical="center" wrapText="1"/>
    </xf>
    <xf numFmtId="0" fontId="4" fillId="3" borderId="8" xfId="0" applyFont="1" applyFill="1" applyBorder="1" applyAlignment="1">
      <alignment horizontal="right" vertical="center" wrapText="1"/>
    </xf>
    <xf numFmtId="0" fontId="23" fillId="5" borderId="23" xfId="0" applyFont="1" applyFill="1" applyBorder="1" applyAlignment="1">
      <alignment horizontal="left" vertical="center" wrapText="1"/>
    </xf>
    <xf numFmtId="0" fontId="23" fillId="5" borderId="2" xfId="0" applyFont="1" applyFill="1" applyBorder="1" applyAlignment="1">
      <alignment horizontal="left" vertical="center" wrapText="1"/>
    </xf>
    <xf numFmtId="0" fontId="23" fillId="5" borderId="24" xfId="0" applyFont="1" applyFill="1" applyBorder="1" applyAlignment="1">
      <alignment horizontal="left" vertical="center" wrapText="1"/>
    </xf>
    <xf numFmtId="0" fontId="13" fillId="5" borderId="12" xfId="0" applyFont="1" applyFill="1" applyBorder="1" applyAlignment="1">
      <alignment horizontal="left" vertical="center" wrapText="1"/>
    </xf>
    <xf numFmtId="0" fontId="13" fillId="5" borderId="0" xfId="0" applyFont="1" applyFill="1" applyBorder="1" applyAlignment="1">
      <alignment horizontal="left" vertical="center" wrapText="1"/>
    </xf>
    <xf numFmtId="0" fontId="62" fillId="24" borderId="41" xfId="0" applyFont="1" applyFill="1" applyBorder="1" applyAlignment="1">
      <alignment horizontal="left" vertical="center" wrapText="1"/>
    </xf>
    <xf numFmtId="0" fontId="63" fillId="0" borderId="0" xfId="0" applyFont="1"/>
    <xf numFmtId="0" fontId="4" fillId="3" borderId="17" xfId="0" applyFont="1" applyFill="1" applyBorder="1" applyAlignment="1">
      <alignment horizontal="right" vertical="center" wrapText="1"/>
    </xf>
    <xf numFmtId="0" fontId="4" fillId="3" borderId="18" xfId="0" applyFont="1" applyFill="1" applyBorder="1" applyAlignment="1">
      <alignment horizontal="right" vertical="center" wrapText="1"/>
    </xf>
    <xf numFmtId="0" fontId="4" fillId="3" borderId="19" xfId="0" applyFont="1" applyFill="1" applyBorder="1" applyAlignment="1">
      <alignment horizontal="right" vertical="center" wrapText="1"/>
    </xf>
    <xf numFmtId="44" fontId="16" fillId="11" borderId="17" xfId="2" applyFont="1" applyFill="1" applyBorder="1" applyAlignment="1">
      <alignment horizontal="center" vertical="center" wrapText="1"/>
    </xf>
    <xf numFmtId="44" fontId="16" fillId="11" borderId="18" xfId="2" applyFont="1" applyFill="1" applyBorder="1" applyAlignment="1">
      <alignment horizontal="center" vertical="center" wrapText="1"/>
    </xf>
    <xf numFmtId="44" fontId="16" fillId="11" borderId="19" xfId="2" applyFont="1" applyFill="1" applyBorder="1" applyAlignment="1">
      <alignment horizontal="center" vertical="center" wrapText="1"/>
    </xf>
    <xf numFmtId="44" fontId="16" fillId="12" borderId="17" xfId="2" applyFont="1" applyFill="1" applyBorder="1" applyAlignment="1">
      <alignment horizontal="center" vertical="center" wrapText="1"/>
    </xf>
    <xf numFmtId="44" fontId="16" fillId="12" borderId="18" xfId="2" applyFont="1" applyFill="1" applyBorder="1" applyAlignment="1">
      <alignment horizontal="center" vertical="center" wrapText="1"/>
    </xf>
    <xf numFmtId="44" fontId="16" fillId="12" borderId="19" xfId="2" applyFont="1" applyFill="1" applyBorder="1" applyAlignment="1">
      <alignment horizontal="center" vertical="center" wrapText="1"/>
    </xf>
    <xf numFmtId="0" fontId="13" fillId="5" borderId="14" xfId="0" applyFont="1" applyFill="1" applyBorder="1" applyAlignment="1">
      <alignment horizontal="left" vertical="center" wrapText="1"/>
    </xf>
    <xf numFmtId="0" fontId="13" fillId="5" borderId="15" xfId="0" applyFont="1" applyFill="1" applyBorder="1" applyAlignment="1">
      <alignment horizontal="left" vertical="center" wrapText="1"/>
    </xf>
    <xf numFmtId="0" fontId="4" fillId="3" borderId="0" xfId="0" applyFont="1" applyFill="1" applyBorder="1" applyAlignment="1">
      <alignment horizontal="center" vertical="center" wrapText="1"/>
    </xf>
    <xf numFmtId="0" fontId="13" fillId="12" borderId="0" xfId="0" applyFont="1" applyFill="1" applyBorder="1" applyAlignment="1">
      <alignment horizontal="center" vertical="center" wrapText="1"/>
    </xf>
    <xf numFmtId="0" fontId="4" fillId="3" borderId="17" xfId="0" applyFont="1" applyFill="1" applyBorder="1" applyAlignment="1">
      <alignment horizontal="left" vertical="center" wrapText="1"/>
    </xf>
    <xf numFmtId="0" fontId="4" fillId="3" borderId="18" xfId="0" applyFont="1" applyFill="1" applyBorder="1" applyAlignment="1">
      <alignment horizontal="left" vertical="center" wrapText="1"/>
    </xf>
    <xf numFmtId="0" fontId="4" fillId="3" borderId="1" xfId="0" applyFont="1" applyFill="1" applyBorder="1" applyAlignment="1">
      <alignment horizontal="left" vertical="center" wrapText="1"/>
    </xf>
    <xf numFmtId="0" fontId="4" fillId="3" borderId="2" xfId="0" applyFont="1" applyFill="1" applyBorder="1" applyAlignment="1">
      <alignment horizontal="left" vertical="center" wrapText="1"/>
    </xf>
    <xf numFmtId="0" fontId="15" fillId="14" borderId="0" xfId="0" applyFont="1" applyFill="1" applyBorder="1" applyAlignment="1">
      <alignment horizontal="center" vertical="center" textRotation="255" wrapText="1"/>
    </xf>
    <xf numFmtId="44" fontId="16" fillId="14" borderId="17" xfId="2" applyFont="1" applyFill="1" applyBorder="1" applyAlignment="1">
      <alignment horizontal="center" vertical="center" wrapText="1"/>
    </xf>
    <xf numFmtId="44" fontId="16" fillId="14" borderId="18" xfId="2" applyFont="1" applyFill="1" applyBorder="1" applyAlignment="1">
      <alignment horizontal="center" vertical="center" wrapText="1"/>
    </xf>
    <xf numFmtId="44" fontId="16" fillId="14" borderId="19" xfId="2" applyFont="1" applyFill="1" applyBorder="1" applyAlignment="1">
      <alignment horizontal="center" vertical="center" wrapText="1"/>
    </xf>
    <xf numFmtId="0" fontId="4" fillId="3" borderId="2" xfId="0" applyFont="1" applyFill="1" applyBorder="1" applyAlignment="1">
      <alignment horizontal="center" vertical="center" wrapText="1"/>
    </xf>
    <xf numFmtId="0" fontId="4" fillId="3" borderId="3" xfId="0" applyFont="1" applyFill="1" applyBorder="1" applyAlignment="1">
      <alignment horizontal="center" vertical="center" wrapText="1"/>
    </xf>
    <xf numFmtId="44" fontId="13" fillId="6" borderId="10" xfId="2" applyFont="1" applyFill="1" applyBorder="1" applyAlignment="1">
      <alignment horizontal="center" vertical="center" wrapText="1"/>
    </xf>
    <xf numFmtId="44" fontId="13" fillId="6" borderId="11" xfId="2" applyFont="1" applyFill="1" applyBorder="1" applyAlignment="1">
      <alignment horizontal="center" vertical="center" wrapText="1"/>
    </xf>
    <xf numFmtId="44" fontId="13" fillId="6" borderId="32" xfId="2" applyFont="1" applyFill="1" applyBorder="1" applyAlignment="1">
      <alignment horizontal="center" vertical="center" wrapText="1"/>
    </xf>
    <xf numFmtId="44" fontId="13" fillId="6" borderId="31" xfId="2" applyFont="1" applyFill="1" applyBorder="1" applyAlignment="1">
      <alignment horizontal="center" vertical="center" wrapText="1"/>
    </xf>
    <xf numFmtId="0" fontId="4" fillId="3" borderId="24" xfId="0" applyFont="1" applyFill="1" applyBorder="1" applyAlignment="1">
      <alignment horizontal="center" vertical="center" wrapText="1"/>
    </xf>
    <xf numFmtId="44" fontId="16" fillId="15" borderId="17" xfId="2" applyFont="1" applyFill="1" applyBorder="1" applyAlignment="1">
      <alignment horizontal="center" vertical="center" wrapText="1"/>
    </xf>
    <xf numFmtId="44" fontId="16" fillId="15" borderId="18" xfId="2" applyFont="1" applyFill="1" applyBorder="1" applyAlignment="1">
      <alignment horizontal="center" vertical="center" wrapText="1"/>
    </xf>
    <xf numFmtId="44" fontId="16" fillId="15" borderId="19" xfId="2" applyFont="1" applyFill="1" applyBorder="1" applyAlignment="1">
      <alignment horizontal="center" vertical="center" wrapText="1"/>
    </xf>
    <xf numFmtId="44" fontId="16" fillId="19" borderId="17" xfId="2" applyFont="1" applyFill="1" applyBorder="1" applyAlignment="1">
      <alignment horizontal="center" vertical="center" wrapText="1"/>
    </xf>
    <xf numFmtId="44" fontId="16" fillId="19" borderId="18" xfId="2" applyFont="1" applyFill="1" applyBorder="1" applyAlignment="1">
      <alignment horizontal="center" vertical="center" wrapText="1"/>
    </xf>
    <xf numFmtId="44" fontId="16" fillId="19" borderId="19" xfId="2" applyFont="1" applyFill="1" applyBorder="1" applyAlignment="1">
      <alignment horizontal="center" vertical="center" wrapText="1"/>
    </xf>
    <xf numFmtId="0" fontId="15" fillId="19" borderId="0" xfId="0" applyFont="1" applyFill="1" applyBorder="1" applyAlignment="1">
      <alignment horizontal="center" vertical="center" textRotation="255" wrapText="1"/>
    </xf>
    <xf numFmtId="0" fontId="62" fillId="24" borderId="39" xfId="0" applyFont="1" applyFill="1" applyBorder="1" applyAlignment="1">
      <alignment horizontal="left" vertical="center" wrapText="1"/>
    </xf>
    <xf numFmtId="0" fontId="63" fillId="0" borderId="40" xfId="0" applyFont="1" applyBorder="1"/>
    <xf numFmtId="0" fontId="15" fillId="15" borderId="0" xfId="0" applyFont="1" applyFill="1" applyBorder="1" applyAlignment="1">
      <alignment horizontal="center" vertical="center" textRotation="255" wrapText="1"/>
    </xf>
    <xf numFmtId="0" fontId="15" fillId="11" borderId="0" xfId="0" applyFont="1" applyFill="1" applyBorder="1" applyAlignment="1">
      <alignment horizontal="center" vertical="center" textRotation="255" wrapText="1"/>
    </xf>
    <xf numFmtId="0" fontId="15" fillId="12" borderId="0" xfId="0" applyFont="1" applyFill="1" applyBorder="1" applyAlignment="1">
      <alignment horizontal="center" vertical="center" textRotation="255" wrapText="1"/>
    </xf>
    <xf numFmtId="0" fontId="15" fillId="13" borderId="0" xfId="0" applyFont="1" applyFill="1" applyBorder="1" applyAlignment="1">
      <alignment horizontal="center" vertical="center" textRotation="255" wrapText="1"/>
    </xf>
    <xf numFmtId="44" fontId="16" fillId="13" borderId="17" xfId="2" applyFont="1" applyFill="1" applyBorder="1" applyAlignment="1">
      <alignment horizontal="center" vertical="center" wrapText="1"/>
    </xf>
    <xf numFmtId="44" fontId="16" fillId="13" borderId="18" xfId="2" applyFont="1" applyFill="1" applyBorder="1" applyAlignment="1">
      <alignment horizontal="center" vertical="center" wrapText="1"/>
    </xf>
    <xf numFmtId="44" fontId="16" fillId="13" borderId="19" xfId="2" applyFont="1" applyFill="1" applyBorder="1" applyAlignment="1">
      <alignment horizontal="center" vertical="center" wrapText="1"/>
    </xf>
    <xf numFmtId="44" fontId="13" fillId="5" borderId="12" xfId="2" applyFont="1" applyFill="1" applyBorder="1" applyAlignment="1">
      <alignment horizontal="center" vertical="center"/>
    </xf>
    <xf numFmtId="44" fontId="13" fillId="5" borderId="13" xfId="2" applyFont="1" applyFill="1" applyBorder="1" applyAlignment="1">
      <alignment horizontal="center" vertical="center"/>
    </xf>
    <xf numFmtId="44" fontId="13" fillId="5" borderId="5" xfId="2" applyFont="1" applyFill="1" applyBorder="1" applyAlignment="1">
      <alignment horizontal="center" vertical="center"/>
    </xf>
    <xf numFmtId="44" fontId="13" fillId="12" borderId="12" xfId="2" applyFont="1" applyFill="1" applyBorder="1" applyAlignment="1">
      <alignment horizontal="center" vertical="center"/>
    </xf>
    <xf numFmtId="44" fontId="13" fillId="12" borderId="13" xfId="2" applyFont="1" applyFill="1" applyBorder="1" applyAlignment="1">
      <alignment horizontal="center" vertical="center"/>
    </xf>
    <xf numFmtId="44" fontId="13" fillId="12" borderId="5" xfId="2" applyFont="1" applyFill="1" applyBorder="1" applyAlignment="1">
      <alignment horizontal="center" vertical="center"/>
    </xf>
    <xf numFmtId="44" fontId="13" fillId="15" borderId="12" xfId="2" applyFont="1" applyFill="1" applyBorder="1" applyAlignment="1">
      <alignment horizontal="center" vertical="center"/>
    </xf>
    <xf numFmtId="44" fontId="13" fillId="15" borderId="5" xfId="2" applyFont="1" applyFill="1" applyBorder="1" applyAlignment="1">
      <alignment horizontal="center" vertical="center"/>
    </xf>
    <xf numFmtId="44" fontId="13" fillId="19" borderId="12" xfId="2" applyFont="1" applyFill="1" applyBorder="1" applyAlignment="1">
      <alignment horizontal="center" vertical="center"/>
    </xf>
    <xf numFmtId="44" fontId="13" fillId="19" borderId="5" xfId="2" applyFont="1" applyFill="1" applyBorder="1" applyAlignment="1">
      <alignment horizontal="center" vertical="center"/>
    </xf>
    <xf numFmtId="44" fontId="13" fillId="19" borderId="13" xfId="2" applyFont="1" applyFill="1" applyBorder="1" applyAlignment="1">
      <alignment horizontal="center" vertical="center"/>
    </xf>
    <xf numFmtId="44" fontId="11" fillId="11" borderId="12" xfId="2" applyFont="1" applyFill="1" applyBorder="1" applyAlignment="1">
      <alignment horizontal="center" vertical="center"/>
    </xf>
    <xf numFmtId="44" fontId="11" fillId="11" borderId="13" xfId="2" applyFont="1" applyFill="1" applyBorder="1" applyAlignment="1">
      <alignment horizontal="center" vertical="center"/>
    </xf>
    <xf numFmtId="44" fontId="11" fillId="11" borderId="5" xfId="2" applyFont="1" applyFill="1" applyBorder="1" applyAlignment="1">
      <alignment horizontal="center" vertical="center"/>
    </xf>
    <xf numFmtId="44" fontId="11" fillId="12" borderId="12" xfId="2" applyFont="1" applyFill="1" applyBorder="1" applyAlignment="1">
      <alignment horizontal="center" vertical="center"/>
    </xf>
    <xf numFmtId="44" fontId="11" fillId="12" borderId="13" xfId="2" applyFont="1" applyFill="1" applyBorder="1" applyAlignment="1">
      <alignment horizontal="center" vertical="center"/>
    </xf>
    <xf numFmtId="44" fontId="11" fillId="12" borderId="5" xfId="2" applyFont="1" applyFill="1" applyBorder="1" applyAlignment="1">
      <alignment horizontal="center" vertical="center"/>
    </xf>
    <xf numFmtId="44" fontId="11" fillId="13" borderId="12" xfId="2" applyFont="1" applyFill="1" applyBorder="1" applyAlignment="1">
      <alignment horizontal="center" vertical="center"/>
    </xf>
    <xf numFmtId="44" fontId="11" fillId="13" borderId="13" xfId="2" applyFont="1" applyFill="1" applyBorder="1" applyAlignment="1">
      <alignment horizontal="center" vertical="center"/>
    </xf>
    <xf numFmtId="44" fontId="13" fillId="11" borderId="12" xfId="2" applyFont="1" applyFill="1" applyBorder="1" applyAlignment="1">
      <alignment horizontal="center" vertical="center"/>
    </xf>
    <xf numFmtId="44" fontId="13" fillId="11" borderId="5" xfId="2" applyFont="1" applyFill="1" applyBorder="1" applyAlignment="1">
      <alignment horizontal="center" vertical="center"/>
    </xf>
    <xf numFmtId="0" fontId="5" fillId="21" borderId="17" xfId="0" applyFont="1" applyFill="1" applyBorder="1" applyAlignment="1">
      <alignment horizontal="left" vertical="center" wrapText="1"/>
    </xf>
    <xf numFmtId="0" fontId="5" fillId="21" borderId="18" xfId="0" applyFont="1" applyFill="1" applyBorder="1" applyAlignment="1">
      <alignment horizontal="left" vertical="center" wrapText="1"/>
    </xf>
    <xf numFmtId="0" fontId="5" fillId="21" borderId="19" xfId="0" applyFont="1" applyFill="1" applyBorder="1" applyAlignment="1">
      <alignment horizontal="left" vertical="center" wrapText="1"/>
    </xf>
    <xf numFmtId="44" fontId="5" fillId="21" borderId="17" xfId="2" applyFont="1" applyFill="1" applyBorder="1" applyAlignment="1">
      <alignment horizontal="center" vertical="center" wrapText="1"/>
    </xf>
    <xf numFmtId="44" fontId="5" fillId="21" borderId="19" xfId="2" applyFont="1" applyFill="1" applyBorder="1" applyAlignment="1">
      <alignment horizontal="center" vertical="center" wrapText="1"/>
    </xf>
    <xf numFmtId="44" fontId="13" fillId="14" borderId="12" xfId="2" applyFont="1" applyFill="1" applyBorder="1" applyAlignment="1">
      <alignment horizontal="center" vertical="center"/>
    </xf>
    <xf numFmtId="44" fontId="13" fillId="14" borderId="5" xfId="2" applyFont="1" applyFill="1" applyBorder="1" applyAlignment="1">
      <alignment horizontal="center" vertical="center"/>
    </xf>
    <xf numFmtId="44" fontId="13" fillId="19" borderId="0" xfId="2" applyFont="1" applyFill="1" applyBorder="1" applyAlignment="1">
      <alignment horizontal="center" vertical="center"/>
    </xf>
    <xf numFmtId="44" fontId="13" fillId="13" borderId="12" xfId="2" applyFont="1" applyFill="1" applyBorder="1" applyAlignment="1">
      <alignment horizontal="center" vertical="center"/>
    </xf>
    <xf numFmtId="44" fontId="13" fillId="13" borderId="5" xfId="2" applyFont="1" applyFill="1" applyBorder="1" applyAlignment="1">
      <alignment horizontal="center" vertical="center"/>
    </xf>
    <xf numFmtId="44" fontId="11" fillId="19" borderId="12" xfId="2" applyFont="1" applyFill="1" applyBorder="1" applyAlignment="1">
      <alignment horizontal="center" vertical="center"/>
    </xf>
    <xf numFmtId="44" fontId="11" fillId="19" borderId="13" xfId="2" applyFont="1" applyFill="1" applyBorder="1" applyAlignment="1">
      <alignment horizontal="center" vertical="center"/>
    </xf>
    <xf numFmtId="44" fontId="11" fillId="19" borderId="5" xfId="2" applyFont="1" applyFill="1" applyBorder="1" applyAlignment="1">
      <alignment horizontal="center" vertical="center"/>
    </xf>
    <xf numFmtId="44" fontId="13" fillId="11" borderId="13" xfId="2" applyFont="1" applyFill="1" applyBorder="1" applyAlignment="1">
      <alignment horizontal="center" vertical="center"/>
    </xf>
    <xf numFmtId="44" fontId="13" fillId="13" borderId="13" xfId="2" applyFont="1" applyFill="1" applyBorder="1" applyAlignment="1">
      <alignment horizontal="center" vertical="center"/>
    </xf>
    <xf numFmtId="44" fontId="13" fillId="15" borderId="13" xfId="2" applyFont="1" applyFill="1" applyBorder="1" applyAlignment="1">
      <alignment horizontal="center" vertical="center"/>
    </xf>
    <xf numFmtId="44" fontId="13" fillId="14" borderId="13" xfId="2" applyFont="1" applyFill="1" applyBorder="1" applyAlignment="1">
      <alignment horizontal="center" vertical="center"/>
    </xf>
    <xf numFmtId="44" fontId="13" fillId="8" borderId="12" xfId="2" applyFont="1" applyFill="1" applyBorder="1" applyAlignment="1">
      <alignment horizontal="center" vertical="center"/>
    </xf>
    <xf numFmtId="44" fontId="13" fillId="8" borderId="5" xfId="2" applyFont="1" applyFill="1" applyBorder="1" applyAlignment="1">
      <alignment horizontal="center" vertical="center"/>
    </xf>
    <xf numFmtId="44" fontId="11" fillId="15" borderId="12" xfId="2" applyFont="1" applyFill="1" applyBorder="1" applyAlignment="1">
      <alignment horizontal="center" vertical="center"/>
    </xf>
    <xf numFmtId="44" fontId="11" fillId="15" borderId="13" xfId="2" applyFont="1" applyFill="1" applyBorder="1" applyAlignment="1">
      <alignment horizontal="center" vertical="center"/>
    </xf>
    <xf numFmtId="44" fontId="11" fillId="15" borderId="5" xfId="2" applyFont="1" applyFill="1" applyBorder="1" applyAlignment="1">
      <alignment horizontal="center" vertical="center"/>
    </xf>
    <xf numFmtId="44" fontId="11" fillId="14" borderId="12" xfId="2" applyFont="1" applyFill="1" applyBorder="1" applyAlignment="1">
      <alignment horizontal="center" vertical="center"/>
    </xf>
    <xf numFmtId="44" fontId="11" fillId="14" borderId="13" xfId="2" applyFont="1" applyFill="1" applyBorder="1" applyAlignment="1">
      <alignment horizontal="center" vertical="center"/>
    </xf>
    <xf numFmtId="44" fontId="11" fillId="14" borderId="5" xfId="2" applyFont="1" applyFill="1" applyBorder="1" applyAlignment="1">
      <alignment horizontal="center" vertical="center"/>
    </xf>
    <xf numFmtId="44" fontId="11" fillId="13" borderId="5" xfId="2" applyFont="1" applyFill="1" applyBorder="1" applyAlignment="1">
      <alignment horizontal="center" vertical="center"/>
    </xf>
    <xf numFmtId="0" fontId="35" fillId="4" borderId="4" xfId="0" applyFont="1" applyFill="1" applyBorder="1" applyAlignment="1">
      <alignment horizontal="left" vertical="center"/>
    </xf>
    <xf numFmtId="0" fontId="35" fillId="4" borderId="0" xfId="0" applyFont="1" applyFill="1" applyBorder="1" applyAlignment="1">
      <alignment horizontal="left" vertical="center"/>
    </xf>
    <xf numFmtId="0" fontId="25" fillId="15" borderId="4" xfId="0" applyFont="1" applyFill="1" applyBorder="1" applyAlignment="1">
      <alignment horizontal="right" vertical="center" wrapText="1"/>
    </xf>
    <xf numFmtId="0" fontId="25" fillId="15" borderId="0" xfId="0" applyFont="1" applyFill="1" applyBorder="1" applyAlignment="1">
      <alignment horizontal="right" vertical="center" wrapText="1"/>
    </xf>
    <xf numFmtId="0" fontId="25" fillId="19" borderId="4" xfId="0" applyFont="1" applyFill="1" applyBorder="1" applyAlignment="1">
      <alignment horizontal="right" vertical="center" wrapText="1"/>
    </xf>
    <xf numFmtId="0" fontId="25" fillId="19" borderId="0" xfId="0" applyFont="1" applyFill="1" applyBorder="1" applyAlignment="1">
      <alignment horizontal="right" vertical="center" wrapText="1"/>
    </xf>
    <xf numFmtId="0" fontId="25" fillId="11" borderId="4" xfId="0" applyFont="1" applyFill="1" applyBorder="1" applyAlignment="1">
      <alignment horizontal="right" vertical="center"/>
    </xf>
    <xf numFmtId="0" fontId="25" fillId="11" borderId="0" xfId="0" applyFont="1" applyFill="1" applyBorder="1" applyAlignment="1">
      <alignment horizontal="right" vertical="center"/>
    </xf>
    <xf numFmtId="0" fontId="25" fillId="12" borderId="4" xfId="0" applyFont="1" applyFill="1" applyBorder="1" applyAlignment="1">
      <alignment horizontal="right" vertical="center" wrapText="1"/>
    </xf>
    <xf numFmtId="0" fontId="25" fillId="12" borderId="0" xfId="0" applyFont="1" applyFill="1" applyBorder="1" applyAlignment="1">
      <alignment horizontal="right" vertical="center" wrapText="1"/>
    </xf>
    <xf numFmtId="0" fontId="25" fillId="13" borderId="4" xfId="0" applyFont="1" applyFill="1" applyBorder="1" applyAlignment="1">
      <alignment horizontal="right" vertical="center" wrapText="1"/>
    </xf>
    <xf numFmtId="0" fontId="25" fillId="13" borderId="0" xfId="0" applyFont="1" applyFill="1" applyBorder="1" applyAlignment="1">
      <alignment horizontal="right" vertical="center" wrapText="1"/>
    </xf>
    <xf numFmtId="0" fontId="25" fillId="14" borderId="4" xfId="0" applyFont="1" applyFill="1" applyBorder="1" applyAlignment="1">
      <alignment horizontal="right" vertical="center" wrapText="1"/>
    </xf>
    <xf numFmtId="0" fontId="25" fillId="14" borderId="0" xfId="0" applyFont="1" applyFill="1" applyBorder="1" applyAlignment="1">
      <alignment horizontal="right" vertical="center" wrapText="1"/>
    </xf>
    <xf numFmtId="0" fontId="35" fillId="4" borderId="13" xfId="0" applyFont="1" applyFill="1" applyBorder="1" applyAlignment="1">
      <alignment horizontal="left" vertical="center"/>
    </xf>
    <xf numFmtId="44" fontId="35" fillId="4" borderId="12" xfId="2" applyFont="1" applyFill="1" applyBorder="1" applyAlignment="1">
      <alignment horizontal="center" vertical="center"/>
    </xf>
    <xf numFmtId="44" fontId="35" fillId="4" borderId="13" xfId="2" applyFont="1" applyFill="1" applyBorder="1" applyAlignment="1">
      <alignment horizontal="center" vertical="center"/>
    </xf>
    <xf numFmtId="44" fontId="35" fillId="4" borderId="5" xfId="2" applyFont="1" applyFill="1" applyBorder="1" applyAlignment="1">
      <alignment horizontal="center" vertical="center"/>
    </xf>
    <xf numFmtId="0" fontId="39" fillId="16" borderId="4" xfId="0" applyFont="1" applyFill="1" applyBorder="1" applyAlignment="1">
      <alignment horizontal="center" vertical="center"/>
    </xf>
    <xf numFmtId="0" fontId="39" fillId="16" borderId="0" xfId="0" applyFont="1" applyFill="1" applyBorder="1" applyAlignment="1">
      <alignment horizontal="center" vertical="center"/>
    </xf>
    <xf numFmtId="0" fontId="39" fillId="16" borderId="13" xfId="0" applyFont="1" applyFill="1" applyBorder="1" applyAlignment="1">
      <alignment horizontal="center" vertical="center"/>
    </xf>
    <xf numFmtId="44" fontId="39" fillId="16" borderId="12" xfId="2" applyFont="1" applyFill="1" applyBorder="1" applyAlignment="1">
      <alignment horizontal="center" vertical="center"/>
    </xf>
    <xf numFmtId="44" fontId="39" fillId="16" borderId="13" xfId="2" applyFont="1" applyFill="1" applyBorder="1" applyAlignment="1">
      <alignment horizontal="center" vertical="center"/>
    </xf>
    <xf numFmtId="44" fontId="39" fillId="16" borderId="5" xfId="2" applyFont="1" applyFill="1" applyBorder="1" applyAlignment="1">
      <alignment horizontal="center" vertical="center"/>
    </xf>
    <xf numFmtId="44" fontId="13" fillId="8" borderId="13" xfId="2" applyFont="1" applyFill="1" applyBorder="1" applyAlignment="1">
      <alignment horizontal="center" vertical="center"/>
    </xf>
    <xf numFmtId="44" fontId="26" fillId="4" borderId="12" xfId="2" applyFont="1" applyFill="1" applyBorder="1" applyAlignment="1">
      <alignment horizontal="center" vertical="center" wrapText="1"/>
    </xf>
    <xf numFmtId="44" fontId="26" fillId="4" borderId="5" xfId="2" applyFont="1" applyFill="1" applyBorder="1" applyAlignment="1">
      <alignment horizontal="center" vertical="center" wrapText="1"/>
    </xf>
    <xf numFmtId="44" fontId="26" fillId="4" borderId="12" xfId="2" applyFont="1" applyFill="1" applyBorder="1" applyAlignment="1">
      <alignment horizontal="center" vertical="center"/>
    </xf>
    <xf numFmtId="44" fontId="26" fillId="4" borderId="5" xfId="2" applyFont="1" applyFill="1" applyBorder="1" applyAlignment="1">
      <alignment horizontal="center" vertical="center"/>
    </xf>
    <xf numFmtId="44" fontId="26" fillId="4" borderId="13" xfId="2" applyFont="1" applyFill="1" applyBorder="1" applyAlignment="1">
      <alignment horizontal="center" vertical="center" wrapText="1"/>
    </xf>
    <xf numFmtId="44" fontId="26" fillId="4" borderId="13" xfId="2" applyFont="1" applyFill="1" applyBorder="1" applyAlignment="1">
      <alignment horizontal="center" vertical="center"/>
    </xf>
    <xf numFmtId="44" fontId="4" fillId="9" borderId="17" xfId="2" applyFont="1" applyFill="1" applyBorder="1" applyAlignment="1">
      <alignment horizontal="center" vertical="center" wrapText="1"/>
    </xf>
    <xf numFmtId="44" fontId="4" fillId="9" borderId="19" xfId="2" applyFont="1" applyFill="1" applyBorder="1" applyAlignment="1">
      <alignment horizontal="center" vertical="center" wrapText="1"/>
    </xf>
    <xf numFmtId="44" fontId="13" fillId="8" borderId="23" xfId="2" applyFont="1" applyFill="1" applyBorder="1" applyAlignment="1">
      <alignment horizontal="center" vertical="center"/>
    </xf>
    <xf numFmtId="44" fontId="13" fillId="8" borderId="24" xfId="2" applyFont="1" applyFill="1" applyBorder="1" applyAlignment="1">
      <alignment horizontal="center" vertical="center"/>
    </xf>
    <xf numFmtId="44" fontId="6" fillId="5" borderId="12" xfId="2" applyFont="1" applyFill="1" applyBorder="1" applyAlignment="1">
      <alignment horizontal="center" vertical="center"/>
    </xf>
    <xf numFmtId="44" fontId="6" fillId="5" borderId="13" xfId="2" applyFont="1" applyFill="1" applyBorder="1" applyAlignment="1">
      <alignment horizontal="center" vertical="center"/>
    </xf>
    <xf numFmtId="44" fontId="13" fillId="8" borderId="3" xfId="2" applyFont="1" applyFill="1" applyBorder="1" applyAlignment="1">
      <alignment horizontal="center" vertical="center"/>
    </xf>
    <xf numFmtId="44" fontId="6" fillId="5" borderId="5" xfId="2" applyFont="1" applyFill="1" applyBorder="1" applyAlignment="1">
      <alignment horizontal="center" vertical="center"/>
    </xf>
    <xf numFmtId="0" fontId="37" fillId="17" borderId="17" xfId="0" applyFont="1" applyFill="1" applyBorder="1" applyAlignment="1">
      <alignment horizontal="center" vertical="center"/>
    </xf>
    <xf numFmtId="0" fontId="38" fillId="17" borderId="18" xfId="0" applyFont="1" applyFill="1" applyBorder="1" applyAlignment="1">
      <alignment horizontal="center" vertical="center"/>
    </xf>
    <xf numFmtId="0" fontId="38" fillId="17" borderId="25" xfId="0" applyFont="1" applyFill="1" applyBorder="1" applyAlignment="1">
      <alignment horizontal="center" vertical="center"/>
    </xf>
    <xf numFmtId="44" fontId="37" fillId="17" borderId="26" xfId="2" applyFont="1" applyFill="1" applyBorder="1" applyAlignment="1">
      <alignment horizontal="center" vertical="center"/>
    </xf>
    <xf numFmtId="44" fontId="37" fillId="17" borderId="25" xfId="2" applyFont="1" applyFill="1" applyBorder="1" applyAlignment="1">
      <alignment horizontal="center" vertical="center"/>
    </xf>
    <xf numFmtId="44" fontId="37" fillId="17" borderId="19" xfId="2" applyFont="1" applyFill="1" applyBorder="1" applyAlignment="1">
      <alignment horizontal="center" vertical="center"/>
    </xf>
    <xf numFmtId="0" fontId="4" fillId="9" borderId="17" xfId="0" applyFont="1" applyFill="1" applyBorder="1" applyAlignment="1">
      <alignment horizontal="left" vertical="center" wrapText="1"/>
    </xf>
    <xf numFmtId="0" fontId="4" fillId="9" borderId="18" xfId="0" applyFont="1" applyFill="1" applyBorder="1" applyAlignment="1">
      <alignment horizontal="left" vertical="center" wrapText="1"/>
    </xf>
    <xf numFmtId="0" fontId="4" fillId="9" borderId="19" xfId="0" applyFont="1" applyFill="1" applyBorder="1" applyAlignment="1">
      <alignment horizontal="left" vertical="center" wrapText="1"/>
    </xf>
    <xf numFmtId="44" fontId="11" fillId="12" borderId="12" xfId="2" applyFont="1" applyFill="1" applyBorder="1" applyAlignment="1">
      <alignment horizontal="center" vertical="center" wrapText="1"/>
    </xf>
    <xf numFmtId="44" fontId="11" fillId="12" borderId="5" xfId="2" applyFont="1" applyFill="1" applyBorder="1" applyAlignment="1">
      <alignment horizontal="center" vertical="center" wrapText="1"/>
    </xf>
    <xf numFmtId="44" fontId="11" fillId="12" borderId="13" xfId="2" applyFont="1" applyFill="1" applyBorder="1" applyAlignment="1">
      <alignment horizontal="center" vertical="center" wrapText="1"/>
    </xf>
    <xf numFmtId="44" fontId="5" fillId="9" borderId="17" xfId="2" applyFont="1" applyFill="1" applyBorder="1" applyAlignment="1">
      <alignment horizontal="center" vertical="center" wrapText="1"/>
    </xf>
    <xf numFmtId="44" fontId="5" fillId="9" borderId="19" xfId="2" applyFont="1" applyFill="1" applyBorder="1" applyAlignment="1">
      <alignment horizontal="center" vertical="center" wrapText="1"/>
    </xf>
    <xf numFmtId="0" fontId="5" fillId="9" borderId="17" xfId="0" applyFont="1" applyFill="1" applyBorder="1" applyAlignment="1">
      <alignment horizontal="left" vertical="center" wrapText="1"/>
    </xf>
    <xf numFmtId="0" fontId="5" fillId="9" borderId="18" xfId="0" applyFont="1" applyFill="1" applyBorder="1" applyAlignment="1">
      <alignment horizontal="left" vertical="center" wrapText="1"/>
    </xf>
    <xf numFmtId="0" fontId="5" fillId="9" borderId="19" xfId="0" applyFont="1" applyFill="1" applyBorder="1" applyAlignment="1">
      <alignment horizontal="left" vertical="center" wrapText="1"/>
    </xf>
    <xf numFmtId="0" fontId="25" fillId="19" borderId="13" xfId="0" applyFont="1" applyFill="1" applyBorder="1" applyAlignment="1">
      <alignment horizontal="right" vertical="center" wrapText="1"/>
    </xf>
    <xf numFmtId="0" fontId="26" fillId="4" borderId="4" xfId="0" applyFont="1" applyFill="1" applyBorder="1" applyAlignment="1">
      <alignment horizontal="left" vertical="center"/>
    </xf>
    <xf numFmtId="0" fontId="26" fillId="4" borderId="0" xfId="0" applyFont="1" applyFill="1" applyBorder="1" applyAlignment="1">
      <alignment horizontal="left" vertical="center"/>
    </xf>
    <xf numFmtId="0" fontId="25" fillId="19" borderId="4" xfId="0" applyFont="1" applyFill="1" applyBorder="1" applyAlignment="1">
      <alignment horizontal="right" vertical="center"/>
    </xf>
    <xf numFmtId="0" fontId="25" fillId="19" borderId="0" xfId="0" applyFont="1" applyFill="1" applyBorder="1" applyAlignment="1">
      <alignment horizontal="right" vertical="center"/>
    </xf>
    <xf numFmtId="0" fontId="25" fillId="19" borderId="13" xfId="0" applyFont="1" applyFill="1" applyBorder="1" applyAlignment="1">
      <alignment horizontal="right" vertical="center"/>
    </xf>
    <xf numFmtId="0" fontId="26" fillId="4" borderId="4" xfId="0" applyFont="1" applyFill="1" applyBorder="1" applyAlignment="1">
      <alignment horizontal="left" vertical="center" wrapText="1"/>
    </xf>
    <xf numFmtId="0" fontId="26" fillId="4" borderId="0" xfId="0" applyFont="1" applyFill="1" applyBorder="1" applyAlignment="1">
      <alignment horizontal="left" vertical="center" wrapText="1"/>
    </xf>
    <xf numFmtId="0" fontId="25" fillId="11" borderId="4" xfId="0" applyFont="1" applyFill="1" applyBorder="1" applyAlignment="1">
      <alignment horizontal="right" vertical="center" wrapText="1"/>
    </xf>
    <xf numFmtId="0" fontId="25" fillId="11" borderId="0" xfId="0" applyFont="1" applyFill="1" applyBorder="1" applyAlignment="1">
      <alignment horizontal="right" vertical="center" wrapText="1"/>
    </xf>
    <xf numFmtId="44" fontId="13" fillId="5" borderId="0" xfId="2" applyFont="1" applyFill="1" applyBorder="1" applyAlignment="1">
      <alignment horizontal="center" vertical="center"/>
    </xf>
    <xf numFmtId="44" fontId="35" fillId="4" borderId="12" xfId="2" applyFont="1" applyFill="1" applyBorder="1" applyAlignment="1">
      <alignment horizontal="center" vertical="center" wrapText="1"/>
    </xf>
    <xf numFmtId="44" fontId="35" fillId="4" borderId="13" xfId="2" applyFont="1" applyFill="1" applyBorder="1" applyAlignment="1">
      <alignment horizontal="center" vertical="center" wrapText="1"/>
    </xf>
    <xf numFmtId="44" fontId="35" fillId="4" borderId="5" xfId="2" applyFont="1" applyFill="1" applyBorder="1" applyAlignment="1">
      <alignment horizontal="center" vertical="center" wrapText="1"/>
    </xf>
    <xf numFmtId="0" fontId="35" fillId="4" borderId="4" xfId="0" applyFont="1" applyFill="1" applyBorder="1" applyAlignment="1">
      <alignment horizontal="left" vertical="center" wrapText="1"/>
    </xf>
    <xf numFmtId="0" fontId="35" fillId="4" borderId="0" xfId="0" applyFont="1" applyFill="1" applyBorder="1" applyAlignment="1">
      <alignment horizontal="left" vertical="center" wrapText="1"/>
    </xf>
    <xf numFmtId="44" fontId="13" fillId="13" borderId="12" xfId="2" applyNumberFormat="1" applyFont="1" applyFill="1" applyBorder="1" applyAlignment="1">
      <alignment horizontal="center" vertical="center"/>
    </xf>
    <xf numFmtId="0" fontId="35" fillId="4" borderId="13" xfId="0" applyFont="1" applyFill="1" applyBorder="1" applyAlignment="1">
      <alignment horizontal="left" vertical="center" wrapText="1"/>
    </xf>
    <xf numFmtId="44" fontId="40" fillId="9" borderId="17" xfId="2" applyFont="1" applyFill="1" applyBorder="1" applyAlignment="1">
      <alignment horizontal="center" vertical="center" wrapText="1"/>
    </xf>
    <xf numFmtId="44" fontId="40" fillId="9" borderId="19" xfId="2" applyFont="1" applyFill="1" applyBorder="1" applyAlignment="1">
      <alignment horizontal="center" vertical="center" wrapText="1"/>
    </xf>
    <xf numFmtId="0" fontId="37" fillId="17" borderId="18" xfId="0" applyFont="1" applyFill="1" applyBorder="1" applyAlignment="1">
      <alignment horizontal="center" vertical="center"/>
    </xf>
    <xf numFmtId="0" fontId="37" fillId="17" borderId="25" xfId="0" applyFont="1" applyFill="1" applyBorder="1" applyAlignment="1">
      <alignment horizontal="center" vertical="center"/>
    </xf>
    <xf numFmtId="0" fontId="5" fillId="8" borderId="17" xfId="0" applyFont="1" applyFill="1" applyBorder="1" applyAlignment="1">
      <alignment horizontal="left" vertical="center" wrapText="1"/>
    </xf>
    <xf numFmtId="0" fontId="5" fillId="8" borderId="18" xfId="0" applyFont="1" applyFill="1" applyBorder="1" applyAlignment="1">
      <alignment horizontal="left" vertical="center" wrapText="1"/>
    </xf>
    <xf numFmtId="0" fontId="5" fillId="8" borderId="19" xfId="0" applyFont="1" applyFill="1" applyBorder="1" applyAlignment="1">
      <alignment horizontal="left" vertical="center" wrapText="1"/>
    </xf>
    <xf numFmtId="44" fontId="5" fillId="8" borderId="17" xfId="2" applyFont="1" applyFill="1" applyBorder="1" applyAlignment="1">
      <alignment horizontal="center" vertical="center" wrapText="1"/>
    </xf>
    <xf numFmtId="44" fontId="5" fillId="8" borderId="19" xfId="2" applyFont="1" applyFill="1" applyBorder="1" applyAlignment="1">
      <alignment horizontal="center" vertical="center" wrapText="1"/>
    </xf>
    <xf numFmtId="44" fontId="41" fillId="17" borderId="26" xfId="2" applyFont="1" applyFill="1" applyBorder="1" applyAlignment="1">
      <alignment horizontal="center" vertical="center"/>
    </xf>
    <xf numFmtId="44" fontId="41" fillId="17" borderId="25" xfId="2" applyFont="1" applyFill="1" applyBorder="1" applyAlignment="1">
      <alignment horizontal="center" vertical="center"/>
    </xf>
    <xf numFmtId="44" fontId="41" fillId="17" borderId="19" xfId="2" applyFont="1" applyFill="1" applyBorder="1" applyAlignment="1">
      <alignment horizontal="center" vertical="center"/>
    </xf>
    <xf numFmtId="0" fontId="60" fillId="22" borderId="17" xfId="0" applyFont="1" applyFill="1" applyBorder="1" applyAlignment="1">
      <alignment horizontal="left" vertical="center" wrapText="1"/>
    </xf>
    <xf numFmtId="0" fontId="60" fillId="22" borderId="18" xfId="0" applyFont="1" applyFill="1" applyBorder="1" applyAlignment="1">
      <alignment horizontal="left" vertical="center" wrapText="1"/>
    </xf>
    <xf numFmtId="0" fontId="60" fillId="22" borderId="19" xfId="0" applyFont="1" applyFill="1" applyBorder="1" applyAlignment="1">
      <alignment horizontal="left" vertical="center" wrapText="1"/>
    </xf>
    <xf numFmtId="44" fontId="60" fillId="22" borderId="17" xfId="2" applyFont="1" applyFill="1" applyBorder="1" applyAlignment="1">
      <alignment horizontal="center" vertical="center" wrapText="1"/>
    </xf>
    <xf numFmtId="44" fontId="60" fillId="22" borderId="19" xfId="2" applyFont="1" applyFill="1" applyBorder="1" applyAlignment="1">
      <alignment horizontal="center" vertical="center" wrapText="1"/>
    </xf>
    <xf numFmtId="44" fontId="60" fillId="22" borderId="17" xfId="2" applyNumberFormat="1" applyFont="1" applyFill="1" applyBorder="1" applyAlignment="1">
      <alignment horizontal="center" vertical="center" wrapText="1"/>
    </xf>
    <xf numFmtId="44" fontId="60" fillId="22" borderId="19" xfId="2" applyNumberFormat="1" applyFont="1" applyFill="1" applyBorder="1" applyAlignment="1">
      <alignment horizontal="center" vertical="center" wrapText="1"/>
    </xf>
    <xf numFmtId="44" fontId="13" fillId="5" borderId="12" xfId="2" applyNumberFormat="1" applyFont="1" applyFill="1" applyBorder="1" applyAlignment="1">
      <alignment horizontal="center" vertical="center"/>
    </xf>
    <xf numFmtId="0" fontId="60" fillId="9" borderId="17" xfId="0" applyFont="1" applyFill="1" applyBorder="1" applyAlignment="1">
      <alignment horizontal="left" vertical="center" wrapText="1"/>
    </xf>
    <xf numFmtId="0" fontId="60" fillId="9" borderId="18" xfId="0" applyFont="1" applyFill="1" applyBorder="1" applyAlignment="1">
      <alignment horizontal="left" vertical="center" wrapText="1"/>
    </xf>
    <xf numFmtId="0" fontId="60" fillId="9" borderId="19" xfId="0" applyFont="1" applyFill="1" applyBorder="1" applyAlignment="1">
      <alignment horizontal="left" vertical="center" wrapText="1"/>
    </xf>
    <xf numFmtId="44" fontId="61" fillId="9" borderId="17" xfId="2" applyFont="1" applyFill="1" applyBorder="1" applyAlignment="1">
      <alignment horizontal="center" vertical="center" wrapText="1"/>
    </xf>
    <xf numFmtId="44" fontId="61" fillId="9" borderId="19" xfId="2" applyFont="1" applyFill="1" applyBorder="1" applyAlignment="1">
      <alignment horizontal="center" vertical="center" wrapText="1"/>
    </xf>
    <xf numFmtId="0" fontId="23" fillId="17" borderId="17" xfId="0" applyFont="1" applyFill="1" applyBorder="1" applyAlignment="1">
      <alignment horizontal="center" vertical="center"/>
    </xf>
    <xf numFmtId="0" fontId="13" fillId="17" borderId="18" xfId="0" applyFont="1" applyFill="1" applyBorder="1" applyAlignment="1">
      <alignment horizontal="center" vertical="center"/>
    </xf>
    <xf numFmtId="0" fontId="13" fillId="17" borderId="25" xfId="0" applyFont="1" applyFill="1" applyBorder="1" applyAlignment="1">
      <alignment horizontal="center" vertical="center"/>
    </xf>
    <xf numFmtId="0" fontId="5" fillId="26" borderId="17" xfId="0" applyFont="1" applyFill="1" applyBorder="1" applyAlignment="1">
      <alignment horizontal="left" vertical="center" wrapText="1"/>
    </xf>
    <xf numFmtId="0" fontId="5" fillId="26" borderId="18" xfId="0" applyFont="1" applyFill="1" applyBorder="1" applyAlignment="1">
      <alignment horizontal="left" vertical="center" wrapText="1"/>
    </xf>
    <xf numFmtId="0" fontId="5" fillId="26" borderId="19" xfId="0" applyFont="1" applyFill="1" applyBorder="1" applyAlignment="1">
      <alignment horizontal="left" vertical="center" wrapText="1"/>
    </xf>
    <xf numFmtId="44" fontId="60" fillId="26" borderId="17" xfId="2" applyFont="1" applyFill="1" applyBorder="1" applyAlignment="1">
      <alignment horizontal="center" vertical="center" wrapText="1"/>
    </xf>
    <xf numFmtId="44" fontId="60" fillId="26" borderId="19" xfId="2" applyFont="1" applyFill="1" applyBorder="1" applyAlignment="1">
      <alignment horizontal="center" vertical="center" wrapText="1"/>
    </xf>
    <xf numFmtId="44" fontId="60" fillId="26" borderId="17" xfId="2" applyNumberFormat="1" applyFont="1" applyFill="1" applyBorder="1" applyAlignment="1">
      <alignment horizontal="center" vertical="center" wrapText="1"/>
    </xf>
    <xf numFmtId="44" fontId="60" fillId="26" borderId="19" xfId="2" applyNumberFormat="1" applyFont="1" applyFill="1" applyBorder="1" applyAlignment="1">
      <alignment horizontal="center" vertical="center" wrapText="1"/>
    </xf>
    <xf numFmtId="44" fontId="59" fillId="21" borderId="7" xfId="2" applyFont="1" applyFill="1" applyBorder="1" applyAlignment="1">
      <alignment horizontal="center"/>
    </xf>
    <xf numFmtId="44" fontId="42" fillId="5" borderId="0" xfId="0" applyNumberFormat="1" applyFont="1" applyFill="1" applyBorder="1" applyAlignment="1">
      <alignment horizontal="center"/>
    </xf>
    <xf numFmtId="0" fontId="42" fillId="5" borderId="0" xfId="0" applyFont="1" applyFill="1" applyBorder="1" applyAlignment="1">
      <alignment horizontal="center"/>
    </xf>
    <xf numFmtId="44" fontId="42" fillId="5" borderId="0" xfId="0" applyNumberFormat="1" applyFont="1" applyFill="1" applyBorder="1" applyAlignment="1">
      <alignment horizontal="center" vertical="center"/>
    </xf>
    <xf numFmtId="0" fontId="42" fillId="5" borderId="0" xfId="0" applyFont="1" applyFill="1" applyBorder="1" applyAlignment="1">
      <alignment horizontal="center" vertical="center"/>
    </xf>
    <xf numFmtId="44" fontId="42" fillId="5" borderId="0" xfId="2" applyFont="1" applyFill="1" applyBorder="1" applyAlignment="1" applyProtection="1">
      <alignment horizontal="center"/>
    </xf>
    <xf numFmtId="44" fontId="42" fillId="5" borderId="0" xfId="2" applyFont="1" applyFill="1" applyBorder="1" applyAlignment="1">
      <alignment horizontal="center"/>
    </xf>
    <xf numFmtId="0" fontId="5" fillId="3" borderId="1" xfId="0" applyFont="1" applyFill="1" applyBorder="1" applyAlignment="1">
      <alignment horizontal="center"/>
    </xf>
    <xf numFmtId="0" fontId="5" fillId="3" borderId="2" xfId="0" applyFont="1" applyFill="1" applyBorder="1" applyAlignment="1">
      <alignment horizontal="center"/>
    </xf>
    <xf numFmtId="0" fontId="5" fillId="3" borderId="3" xfId="0" applyFont="1" applyFill="1" applyBorder="1" applyAlignment="1">
      <alignment horizontal="center"/>
    </xf>
    <xf numFmtId="49" fontId="19" fillId="19" borderId="4" xfId="0" applyNumberFormat="1" applyFont="1" applyFill="1" applyBorder="1" applyAlignment="1">
      <alignment horizontal="left" vertical="center" wrapText="1"/>
    </xf>
    <xf numFmtId="49" fontId="19" fillId="19" borderId="0" xfId="0" applyNumberFormat="1" applyFont="1" applyFill="1" applyBorder="1" applyAlignment="1">
      <alignment horizontal="left" vertical="center" wrapText="1"/>
    </xf>
    <xf numFmtId="49" fontId="17" fillId="19" borderId="4" xfId="0" applyNumberFormat="1" applyFont="1" applyFill="1" applyBorder="1" applyAlignment="1">
      <alignment horizontal="left" vertical="center" wrapText="1"/>
    </xf>
    <xf numFmtId="49" fontId="17" fillId="19" borderId="0" xfId="0" applyNumberFormat="1" applyFont="1" applyFill="1" applyBorder="1" applyAlignment="1">
      <alignment horizontal="left" vertical="center" wrapText="1"/>
    </xf>
    <xf numFmtId="0" fontId="4" fillId="9" borderId="1" xfId="0" applyFont="1" applyFill="1" applyBorder="1" applyAlignment="1">
      <alignment horizontal="left" vertical="center" wrapText="1"/>
    </xf>
    <xf numFmtId="0" fontId="4" fillId="9" borderId="2" xfId="0" applyFont="1" applyFill="1" applyBorder="1" applyAlignment="1">
      <alignment horizontal="left" vertical="center" wrapText="1"/>
    </xf>
    <xf numFmtId="49" fontId="19" fillId="19" borderId="4" xfId="0" applyNumberFormat="1" applyFont="1" applyFill="1" applyBorder="1" applyAlignment="1">
      <alignment horizontal="left"/>
    </xf>
    <xf numFmtId="49" fontId="19" fillId="19" borderId="0" xfId="0" applyNumberFormat="1" applyFont="1" applyFill="1" applyBorder="1" applyAlignment="1">
      <alignment horizontal="left"/>
    </xf>
    <xf numFmtId="44" fontId="4" fillId="9" borderId="2" xfId="2" applyFont="1" applyFill="1" applyBorder="1" applyAlignment="1">
      <alignment horizontal="center" vertical="center" wrapText="1"/>
    </xf>
    <xf numFmtId="0" fontId="70" fillId="3" borderId="17" xfId="0" applyFont="1" applyFill="1" applyBorder="1" applyAlignment="1">
      <alignment horizontal="center" vertical="center"/>
    </xf>
    <xf numFmtId="0" fontId="70" fillId="3" borderId="18" xfId="0" applyFont="1" applyFill="1" applyBorder="1" applyAlignment="1">
      <alignment horizontal="center" vertical="center"/>
    </xf>
    <xf numFmtId="0" fontId="70" fillId="3" borderId="19" xfId="0" applyFont="1" applyFill="1" applyBorder="1" applyAlignment="1">
      <alignment horizontal="center" vertical="center"/>
    </xf>
    <xf numFmtId="0" fontId="4" fillId="3" borderId="17" xfId="0" applyFont="1" applyFill="1" applyBorder="1" applyAlignment="1">
      <alignment horizontal="center"/>
    </xf>
    <xf numFmtId="0" fontId="4" fillId="3" borderId="18" xfId="0" applyFont="1" applyFill="1" applyBorder="1" applyAlignment="1">
      <alignment horizontal="center"/>
    </xf>
    <xf numFmtId="0" fontId="4" fillId="3" borderId="19" xfId="0" applyFont="1" applyFill="1" applyBorder="1" applyAlignment="1">
      <alignment horizontal="center"/>
    </xf>
    <xf numFmtId="0" fontId="45" fillId="22" borderId="17" xfId="0" applyFont="1" applyFill="1" applyBorder="1" applyAlignment="1">
      <alignment horizontal="left"/>
    </xf>
    <xf numFmtId="0" fontId="45" fillId="22" borderId="18" xfId="0" applyFont="1" applyFill="1" applyBorder="1" applyAlignment="1">
      <alignment horizontal="left"/>
    </xf>
    <xf numFmtId="0" fontId="27" fillId="19" borderId="17" xfId="0" applyFont="1" applyFill="1" applyBorder="1" applyAlignment="1">
      <alignment horizontal="left"/>
    </xf>
    <xf numFmtId="0" fontId="27" fillId="19" borderId="18" xfId="0" applyFont="1" applyFill="1" applyBorder="1" applyAlignment="1">
      <alignment horizontal="left"/>
    </xf>
    <xf numFmtId="0" fontId="27" fillId="23" borderId="17" xfId="0" applyFont="1" applyFill="1" applyBorder="1" applyAlignment="1">
      <alignment horizontal="left"/>
    </xf>
    <xf numFmtId="0" fontId="13" fillId="23" borderId="18" xfId="0" applyFont="1" applyFill="1" applyBorder="1" applyAlignment="1">
      <alignment horizontal="left"/>
    </xf>
    <xf numFmtId="0" fontId="13" fillId="23" borderId="4" xfId="0" applyFont="1" applyFill="1" applyBorder="1" applyAlignment="1">
      <alignment horizontal="left" vertical="center" wrapText="1"/>
    </xf>
    <xf numFmtId="0" fontId="13" fillId="23" borderId="0" xfId="0" applyFont="1" applyFill="1" applyBorder="1" applyAlignment="1">
      <alignment horizontal="left" vertical="center" wrapText="1"/>
    </xf>
    <xf numFmtId="0" fontId="25" fillId="20" borderId="4" xfId="0" applyFont="1" applyFill="1" applyBorder="1" applyAlignment="1">
      <alignment horizontal="left"/>
    </xf>
    <xf numFmtId="0" fontId="25" fillId="20" borderId="0" xfId="0" applyFont="1" applyFill="1" applyBorder="1" applyAlignment="1">
      <alignment horizontal="left"/>
    </xf>
    <xf numFmtId="0" fontId="25" fillId="20" borderId="6" xfId="0" applyFont="1" applyFill="1" applyBorder="1" applyAlignment="1">
      <alignment horizontal="left" vertical="center" wrapText="1"/>
    </xf>
    <xf numFmtId="0" fontId="25" fillId="20" borderId="7" xfId="0" applyFont="1" applyFill="1" applyBorder="1" applyAlignment="1">
      <alignment horizontal="left" vertical="center" wrapText="1"/>
    </xf>
    <xf numFmtId="0" fontId="5" fillId="3" borderId="17" xfId="0" applyFont="1" applyFill="1" applyBorder="1" applyAlignment="1">
      <alignment horizontal="left" vertical="center"/>
    </xf>
    <xf numFmtId="0" fontId="5" fillId="3" borderId="18" xfId="0" applyFont="1" applyFill="1" applyBorder="1" applyAlignment="1">
      <alignment horizontal="left" vertical="center"/>
    </xf>
    <xf numFmtId="0" fontId="25" fillId="20" borderId="4" xfId="0" applyFont="1" applyFill="1" applyBorder="1" applyAlignment="1">
      <alignment horizontal="left" vertical="center"/>
    </xf>
    <xf numFmtId="0" fontId="25" fillId="20" borderId="0" xfId="0" applyFont="1" applyFill="1" applyBorder="1" applyAlignment="1">
      <alignment horizontal="left" vertical="center"/>
    </xf>
    <xf numFmtId="0" fontId="72" fillId="22" borderId="6" xfId="0" applyFont="1" applyFill="1" applyBorder="1" applyAlignment="1">
      <alignment horizontal="left" vertical="center" wrapText="1"/>
    </xf>
    <xf numFmtId="0" fontId="72" fillId="22" borderId="7" xfId="0" applyFont="1" applyFill="1" applyBorder="1" applyAlignment="1">
      <alignment horizontal="left" vertical="center" wrapText="1"/>
    </xf>
    <xf numFmtId="44" fontId="58" fillId="22" borderId="2" xfId="0" applyNumberFormat="1" applyFont="1" applyFill="1" applyBorder="1" applyAlignment="1">
      <alignment horizontal="center" vertical="center"/>
    </xf>
    <xf numFmtId="44" fontId="58" fillId="22" borderId="7" xfId="0" applyNumberFormat="1" applyFont="1" applyFill="1" applyBorder="1" applyAlignment="1">
      <alignment horizontal="center" vertical="center"/>
    </xf>
    <xf numFmtId="44" fontId="58" fillId="22" borderId="3" xfId="0" applyNumberFormat="1" applyFont="1" applyFill="1" applyBorder="1" applyAlignment="1">
      <alignment horizontal="center" vertical="center"/>
    </xf>
    <xf numFmtId="44" fontId="58" fillId="22" borderId="8" xfId="0" applyNumberFormat="1" applyFont="1" applyFill="1" applyBorder="1" applyAlignment="1">
      <alignment horizontal="center" vertical="center"/>
    </xf>
    <xf numFmtId="0" fontId="58" fillId="3" borderId="17" xfId="0" applyFont="1" applyFill="1" applyBorder="1" applyAlignment="1">
      <alignment horizontal="left"/>
    </xf>
    <xf numFmtId="0" fontId="58" fillId="3" borderId="19" xfId="0" applyFont="1" applyFill="1" applyBorder="1" applyAlignment="1">
      <alignment horizontal="left"/>
    </xf>
    <xf numFmtId="0" fontId="71" fillId="22" borderId="1" xfId="0" applyFont="1" applyFill="1" applyBorder="1" applyAlignment="1">
      <alignment horizontal="left" vertical="center" wrapText="1"/>
    </xf>
    <xf numFmtId="0" fontId="71" fillId="22" borderId="2" xfId="0" applyFont="1" applyFill="1" applyBorder="1" applyAlignment="1">
      <alignment horizontal="left" vertical="center" wrapText="1"/>
    </xf>
    <xf numFmtId="0" fontId="3" fillId="5" borderId="0" xfId="6" applyFill="1" applyBorder="1" applyAlignment="1">
      <alignment horizontal="center" vertical="center"/>
    </xf>
    <xf numFmtId="0" fontId="0" fillId="5" borderId="0" xfId="0" applyFill="1" applyAlignment="1">
      <alignment horizontal="left" vertical="center"/>
    </xf>
    <xf numFmtId="0" fontId="0" fillId="5" borderId="0" xfId="0" applyFill="1" applyAlignment="1">
      <alignment horizontal="center" vertical="center"/>
    </xf>
    <xf numFmtId="0" fontId="66" fillId="5" borderId="0" xfId="0" applyFont="1" applyFill="1" applyAlignment="1">
      <alignment horizontal="center"/>
    </xf>
    <xf numFmtId="0" fontId="3" fillId="5" borderId="0" xfId="6" applyFill="1" applyBorder="1" applyAlignment="1">
      <alignment horizontal="left" vertical="center"/>
    </xf>
    <xf numFmtId="0" fontId="3" fillId="5" borderId="0" xfId="6" applyFill="1" applyBorder="1" applyAlignment="1">
      <alignment horizontal="left" vertical="top"/>
    </xf>
    <xf numFmtId="0" fontId="0" fillId="5" borderId="0" xfId="0" applyFill="1" applyAlignment="1">
      <alignment horizontal="left" vertical="center" wrapText="1"/>
    </xf>
  </cellXfs>
  <cellStyles count="7">
    <cellStyle name="Base" xfId="5" xr:uid="{00000000-0005-0000-0000-000000000000}"/>
    <cellStyle name="Ênfase6" xfId="4" builtinId="49"/>
    <cellStyle name="Hiperlink" xfId="6" builtinId="8"/>
    <cellStyle name="Moeda" xfId="2" builtinId="4"/>
    <cellStyle name="Normal" xfId="0" builtinId="0"/>
    <cellStyle name="Porcentagem" xfId="3" builtinId="5"/>
    <cellStyle name="Vírgula" xfId="1" builtinId="3"/>
  </cellStyles>
  <dxfs count="42">
    <dxf>
      <font>
        <b/>
        <i val="0"/>
        <strike val="0"/>
        <condense val="0"/>
        <extend val="0"/>
        <outline val="0"/>
        <shadow val="0"/>
        <u val="none"/>
        <vertAlign val="baseline"/>
        <sz val="30"/>
        <color theme="1"/>
        <name val="Times New Roman"/>
        <family val="1"/>
        <scheme val="none"/>
      </font>
      <fill>
        <patternFill patternType="solid">
          <fgColor indexed="64"/>
          <bgColor theme="2" tint="-9.9978637043366805E-2"/>
        </patternFill>
      </fill>
      <alignment horizontal="center" vertical="center" textRotation="0" wrapText="0" indent="0" justifyLastLine="0" shrinkToFit="0" readingOrder="0"/>
    </dxf>
    <dxf>
      <font>
        <b/>
        <i val="0"/>
        <strike val="0"/>
        <condense val="0"/>
        <extend val="0"/>
        <outline val="0"/>
        <shadow val="0"/>
        <u val="none"/>
        <vertAlign val="baseline"/>
        <sz val="30"/>
        <color theme="1"/>
        <name val="Times New Roman"/>
        <family val="1"/>
        <scheme val="none"/>
      </font>
      <fill>
        <patternFill patternType="solid">
          <fgColor indexed="64"/>
          <bgColor theme="2" tint="-9.9978637043366805E-2"/>
        </patternFill>
      </fill>
      <alignment horizontal="center" vertical="center" textRotation="0" wrapText="0" indent="0" justifyLastLine="0" shrinkToFit="0" readingOrder="0"/>
    </dxf>
    <dxf>
      <font>
        <b/>
        <i val="0"/>
        <strike val="0"/>
        <condense val="0"/>
        <extend val="0"/>
        <outline val="0"/>
        <shadow val="0"/>
        <u val="none"/>
        <vertAlign val="baseline"/>
        <sz val="30"/>
        <color theme="1"/>
        <name val="Times New Roman"/>
        <family val="1"/>
        <scheme val="none"/>
      </font>
      <fill>
        <patternFill patternType="solid">
          <fgColor indexed="64"/>
          <bgColor theme="2" tint="-9.9978637043366805E-2"/>
        </patternFill>
      </fill>
      <alignment horizontal="center" vertical="center" textRotation="0" wrapText="0" indent="0" justifyLastLine="0" shrinkToFit="0" readingOrder="0"/>
    </dxf>
    <dxf>
      <font>
        <b/>
        <i val="0"/>
        <strike val="0"/>
        <condense val="0"/>
        <extend val="0"/>
        <outline val="0"/>
        <shadow val="0"/>
        <u val="none"/>
        <vertAlign val="baseline"/>
        <sz val="30"/>
        <color theme="1"/>
        <name val="Times New Roman"/>
        <family val="1"/>
        <scheme val="none"/>
      </font>
      <fill>
        <patternFill patternType="solid">
          <fgColor indexed="64"/>
          <bgColor theme="0"/>
        </patternFill>
      </fill>
      <alignment horizontal="center" vertical="center" textRotation="0" wrapText="0" indent="0" justifyLastLine="0" shrinkToFit="0" readingOrder="0"/>
    </dxf>
    <dxf>
      <font>
        <b/>
        <i val="0"/>
        <strike val="0"/>
        <condense val="0"/>
        <extend val="0"/>
        <outline val="0"/>
        <shadow val="0"/>
        <u val="none"/>
        <vertAlign val="baseline"/>
        <sz val="30"/>
        <color theme="0"/>
        <name val="Times New Roman"/>
        <family val="1"/>
        <scheme val="none"/>
      </font>
      <fill>
        <patternFill patternType="solid">
          <fgColor indexed="64"/>
          <bgColor rgb="FF642E33"/>
        </patternFill>
      </fill>
      <alignment horizontal="center" vertical="center" textRotation="0" wrapText="0" indent="0" justifyLastLine="0" shrinkToFit="0" readingOrder="0"/>
      <protection locked="0" hidden="0"/>
    </dxf>
    <dxf>
      <font>
        <b/>
        <i val="0"/>
        <strike val="0"/>
        <condense val="0"/>
        <extend val="0"/>
        <outline val="0"/>
        <shadow val="0"/>
        <u val="none"/>
        <vertAlign val="baseline"/>
        <sz val="30"/>
        <color theme="0"/>
        <name val="Times New Roman"/>
        <family val="1"/>
        <scheme val="none"/>
      </font>
      <numFmt numFmtId="1" formatCode="0"/>
      <fill>
        <patternFill patternType="solid">
          <fgColor indexed="64"/>
          <bgColor rgb="FF642E33"/>
        </patternFill>
      </fill>
      <alignment horizontal="center" vertical="center" textRotation="0" wrapText="0" indent="0" justifyLastLine="0" shrinkToFit="0" readingOrder="0"/>
      <protection locked="0" hidden="0"/>
    </dxf>
    <dxf>
      <font>
        <b/>
        <i val="0"/>
        <strike val="0"/>
        <condense val="0"/>
        <extend val="0"/>
        <outline val="0"/>
        <shadow val="0"/>
        <u val="none"/>
        <vertAlign val="baseline"/>
        <sz val="30"/>
        <color theme="1"/>
        <name val="Times New Roman"/>
        <family val="1"/>
        <scheme val="none"/>
      </font>
      <fill>
        <patternFill patternType="solid">
          <fgColor indexed="64"/>
          <bgColor theme="0"/>
        </patternFill>
      </fill>
      <alignment horizontal="center" vertical="center" textRotation="0" wrapText="0" indent="0" justifyLastLine="0" shrinkToFit="0" readingOrder="0"/>
    </dxf>
    <dxf>
      <font>
        <b/>
        <i val="0"/>
        <strike val="0"/>
        <condense val="0"/>
        <extend val="0"/>
        <outline val="0"/>
        <shadow val="0"/>
        <u val="none"/>
        <vertAlign val="baseline"/>
        <sz val="30"/>
        <color theme="0"/>
        <name val="Times New Roman"/>
        <family val="1"/>
        <scheme val="none"/>
      </font>
      <fill>
        <patternFill patternType="solid">
          <fgColor indexed="64"/>
          <bgColor rgb="FF642E33"/>
        </patternFill>
      </fill>
      <alignment horizontal="center" vertical="center" textRotation="0" wrapText="0" indent="0" justifyLastLine="0" shrinkToFit="0" readingOrder="0"/>
      <protection locked="0" hidden="0"/>
    </dxf>
    <dxf>
      <font>
        <strike val="0"/>
        <outline val="0"/>
        <shadow val="0"/>
        <u val="none"/>
        <vertAlign val="baseline"/>
        <sz val="30"/>
        <name val="Times New Roman"/>
        <family val="1"/>
        <scheme val="none"/>
      </font>
      <numFmt numFmtId="1" formatCode="0"/>
      <protection locked="0" hidden="0"/>
    </dxf>
    <dxf>
      <font>
        <strike val="0"/>
        <outline val="0"/>
        <shadow val="0"/>
        <u val="none"/>
        <vertAlign val="baseline"/>
        <sz val="30"/>
        <name val="Times New Roman"/>
        <family val="1"/>
        <scheme val="none"/>
      </font>
      <protection locked="0" hidden="0"/>
    </dxf>
    <dxf>
      <font>
        <b/>
        <i val="0"/>
        <strike val="0"/>
        <condense val="0"/>
        <extend val="0"/>
        <outline val="0"/>
        <shadow val="0"/>
        <u val="none"/>
        <vertAlign val="baseline"/>
        <sz val="30"/>
        <color theme="1"/>
        <name val="Times New Roman"/>
        <family val="1"/>
        <scheme val="none"/>
      </font>
      <numFmt numFmtId="30" formatCode="@"/>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30"/>
        <color theme="1"/>
        <name val="Times New Roman"/>
        <family val="1"/>
        <scheme val="none"/>
      </font>
      <fill>
        <patternFill patternType="solid">
          <fgColor indexed="64"/>
          <bgColor theme="0"/>
        </patternFill>
      </fill>
      <alignment horizontal="left" vertical="center" textRotation="0" wrapText="1" indent="0" justifyLastLine="0" shrinkToFit="0" readingOrder="0"/>
    </dxf>
    <dxf>
      <border outline="0">
        <left style="medium">
          <color auto="1"/>
        </left>
        <right style="medium">
          <color indexed="64"/>
        </right>
        <top style="medium">
          <color indexed="64"/>
        </top>
        <bottom style="medium">
          <color indexed="64"/>
        </bottom>
      </border>
    </dxf>
    <dxf>
      <font>
        <b/>
        <i val="0"/>
        <strike val="0"/>
        <condense val="0"/>
        <extend val="0"/>
        <outline val="0"/>
        <shadow val="0"/>
        <u val="none"/>
        <vertAlign val="baseline"/>
        <sz val="30"/>
        <color theme="1"/>
        <name val="Times New Roman"/>
        <family val="1"/>
        <scheme val="none"/>
      </font>
      <fill>
        <patternFill patternType="solid">
          <fgColor indexed="64"/>
          <bgColor theme="2" tint="-9.9978637043366805E-2"/>
        </patternFill>
      </fill>
      <alignment horizontal="center" vertical="center" textRotation="0" wrapText="0" indent="0" justifyLastLine="0" shrinkToFit="0" readingOrder="0"/>
    </dxf>
    <dxf>
      <border outline="0">
        <bottom style="medium">
          <color auto="1"/>
        </bottom>
      </border>
    </dxf>
    <dxf>
      <font>
        <b/>
        <i val="0"/>
        <strike val="0"/>
        <condense val="0"/>
        <extend val="0"/>
        <outline val="0"/>
        <shadow val="0"/>
        <u val="none"/>
        <vertAlign val="baseline"/>
        <sz val="30"/>
        <color theme="0"/>
        <name val="Times New Roman"/>
        <family val="1"/>
        <scheme val="none"/>
      </font>
      <fill>
        <patternFill patternType="solid">
          <fgColor indexed="64"/>
          <bgColor theme="1" tint="0.499984740745262"/>
        </patternFill>
      </fill>
      <alignment horizontal="center" vertical="center" textRotation="0" wrapText="1" indent="0" justifyLastLine="0" shrinkToFit="0" readingOrder="0"/>
    </dxf>
    <dxf>
      <font>
        <b/>
        <i val="0"/>
        <strike val="0"/>
        <condense val="0"/>
        <extend val="0"/>
        <outline val="0"/>
        <shadow val="0"/>
        <u val="none"/>
        <vertAlign val="baseline"/>
        <sz val="25"/>
        <color theme="0"/>
        <name val="Times New Roman"/>
        <family val="1"/>
        <scheme val="none"/>
      </font>
      <fill>
        <patternFill patternType="solid">
          <fgColor indexed="64"/>
          <bgColor rgb="FF642E33"/>
        </patternFill>
      </fill>
      <alignment horizontal="center" vertical="center" textRotation="0" wrapText="0" indent="0" justifyLastLine="0" shrinkToFit="0" readingOrder="0"/>
    </dxf>
    <dxf>
      <font>
        <b val="0"/>
        <i val="0"/>
        <strike val="0"/>
        <condense val="0"/>
        <extend val="0"/>
        <outline val="0"/>
        <shadow val="0"/>
        <u val="none"/>
        <vertAlign val="baseline"/>
        <sz val="25"/>
        <color auto="1"/>
        <name val="Times New Roman"/>
        <family val="1"/>
        <scheme val="none"/>
      </font>
      <fill>
        <patternFill patternType="solid">
          <fgColor indexed="64"/>
          <bgColor theme="0"/>
        </patternFill>
      </fill>
      <alignment horizontal="left" vertical="center"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strike val="0"/>
        <outline val="0"/>
        <shadow val="0"/>
        <vertAlign val="baseline"/>
        <sz val="25"/>
        <name val="Times New Roman"/>
        <family val="1"/>
        <scheme val="none"/>
      </font>
      <fill>
        <patternFill patternType="solid">
          <fgColor indexed="64"/>
          <bgColor theme="0"/>
        </patternFill>
      </fill>
      <alignment horizontal="left" vertical="center" textRotation="0" indent="0" justifyLastLine="0" shrinkToFit="0" readingOrder="0"/>
    </dxf>
    <dxf>
      <font>
        <strike val="0"/>
        <outline val="0"/>
        <shadow val="0"/>
        <u val="none"/>
        <vertAlign val="baseline"/>
        <sz val="25"/>
        <name val="Times New Roman"/>
        <family val="1"/>
        <scheme val="none"/>
      </font>
      <fill>
        <patternFill patternType="solid">
          <fgColor indexed="64"/>
          <bgColor theme="1"/>
        </patternFill>
      </fill>
      <alignment horizontal="left" vertical="center" textRotation="0" indent="0" justifyLastLine="0" shrinkToFit="0" readingOrder="0"/>
      <border diagonalUp="0" diagonalDown="0" outline="0">
        <left/>
        <right/>
        <top/>
        <bottom/>
      </border>
    </dxf>
    <dxf>
      <font>
        <b/>
        <i val="0"/>
        <strike val="0"/>
        <condense val="0"/>
        <extend val="0"/>
        <outline val="0"/>
        <shadow val="0"/>
        <u val="none"/>
        <vertAlign val="baseline"/>
        <sz val="25"/>
        <color auto="1"/>
        <name val="Times New Roman"/>
        <family val="1"/>
        <scheme val="none"/>
      </font>
      <numFmt numFmtId="2" formatCode="0.00"/>
      <fill>
        <patternFill patternType="solid">
          <fgColor indexed="64"/>
          <bgColor rgb="FFECD4D6"/>
        </patternFill>
      </fill>
      <alignment horizontal="center" vertical="center" textRotation="0" wrapText="0" indent="0" justifyLastLine="0" shrinkToFit="0" readingOrder="0"/>
    </dxf>
    <dxf>
      <font>
        <b val="0"/>
        <i val="0"/>
        <strike val="0"/>
        <condense val="0"/>
        <extend val="0"/>
        <outline val="0"/>
        <shadow val="0"/>
        <u val="none"/>
        <vertAlign val="baseline"/>
        <sz val="25"/>
        <color auto="1"/>
        <name val="Times New Roman"/>
        <family val="1"/>
        <scheme val="none"/>
      </font>
      <fill>
        <patternFill patternType="solid">
          <fgColor indexed="64"/>
          <bgColor theme="0"/>
        </patternFill>
      </fill>
      <alignment horizontal="left" vertical="center" textRotation="0" wrapText="0" indent="0" justifyLastLine="0" shrinkToFit="0" readingOrder="0"/>
      <border diagonalUp="0" diagonalDown="0">
        <right style="thin">
          <color indexed="64"/>
        </right>
      </border>
    </dxf>
    <dxf>
      <border diagonalUp="0" diagonalDown="0">
        <left style="thin">
          <color indexed="64"/>
        </left>
        <right style="thin">
          <color indexed="64"/>
        </right>
        <top style="thin">
          <color indexed="64"/>
        </top>
        <bottom style="thin">
          <color indexed="64"/>
        </bottom>
      </border>
    </dxf>
    <dxf>
      <font>
        <strike val="0"/>
        <outline val="0"/>
        <shadow val="0"/>
        <vertAlign val="baseline"/>
        <sz val="25"/>
        <name val="Times New Roman"/>
        <family val="1"/>
        <scheme val="none"/>
      </font>
      <fill>
        <patternFill patternType="solid">
          <fgColor indexed="64"/>
          <bgColor theme="0"/>
        </patternFill>
      </fill>
      <alignment horizontal="left" vertical="center" textRotation="0" indent="0" justifyLastLine="0" shrinkToFit="0" readingOrder="0"/>
    </dxf>
    <dxf>
      <font>
        <strike val="0"/>
        <outline val="0"/>
        <shadow val="0"/>
        <u val="none"/>
        <vertAlign val="baseline"/>
        <sz val="25"/>
        <name val="Times New Roman"/>
        <family val="1"/>
        <scheme val="none"/>
      </font>
      <fill>
        <patternFill patternType="solid">
          <fgColor indexed="64"/>
          <bgColor theme="1"/>
        </patternFill>
      </fill>
      <alignment horizontal="left" vertical="center" textRotation="0" indent="0" justifyLastLine="0" shrinkToFit="0" readingOrder="0"/>
      <border diagonalUp="0" diagonalDown="0" outline="0">
        <left/>
        <right/>
        <top/>
        <bottom/>
      </border>
    </dxf>
    <dxf>
      <font>
        <b/>
        <i val="0"/>
        <strike val="0"/>
        <condense val="0"/>
        <extend val="0"/>
        <outline val="0"/>
        <shadow val="0"/>
        <u val="none"/>
        <vertAlign val="baseline"/>
        <sz val="25"/>
        <color theme="0"/>
        <name val="Times New Roman"/>
        <family val="1"/>
        <scheme val="none"/>
      </font>
      <numFmt numFmtId="2" formatCode="0.00"/>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25"/>
        <color auto="1"/>
        <name val="Times New Roman"/>
        <family val="1"/>
        <scheme val="none"/>
      </font>
      <fill>
        <patternFill patternType="solid">
          <fgColor indexed="64"/>
          <bgColor theme="0"/>
        </patternFill>
      </fill>
      <alignment horizontal="left" vertical="center"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strike val="0"/>
        <outline val="0"/>
        <shadow val="0"/>
        <vertAlign val="baseline"/>
        <sz val="25"/>
        <name val="Times New Roman"/>
        <family val="1"/>
        <scheme val="none"/>
      </font>
      <fill>
        <patternFill patternType="solid">
          <fgColor indexed="64"/>
          <bgColor theme="0"/>
        </patternFill>
      </fill>
      <alignment horizontal="left" vertical="center" textRotation="0" indent="0" justifyLastLine="0" shrinkToFit="0" readingOrder="0"/>
    </dxf>
    <dxf>
      <font>
        <strike val="0"/>
        <outline val="0"/>
        <shadow val="0"/>
        <u val="none"/>
        <vertAlign val="baseline"/>
        <sz val="25"/>
        <name val="Times New Roman"/>
        <family val="1"/>
        <scheme val="none"/>
      </font>
      <fill>
        <patternFill patternType="solid">
          <fgColor indexed="64"/>
          <bgColor theme="1"/>
        </patternFill>
      </fill>
      <alignment horizontal="left" vertical="center" textRotation="0" indent="0" justifyLastLine="0" shrinkToFit="0" readingOrder="0"/>
      <border diagonalUp="0" diagonalDown="0" outline="0">
        <left/>
        <right/>
        <top/>
        <bottom/>
      </border>
    </dxf>
    <dxf>
      <font>
        <b/>
        <i val="0"/>
        <strike val="0"/>
        <condense val="0"/>
        <extend val="0"/>
        <outline val="0"/>
        <shadow val="0"/>
        <u val="none"/>
        <vertAlign val="baseline"/>
        <sz val="25"/>
        <color auto="1"/>
        <name val="Times New Roman"/>
        <family val="1"/>
        <scheme val="none"/>
      </font>
      <numFmt numFmtId="2" formatCode="0.00"/>
      <fill>
        <patternFill patternType="solid">
          <fgColor indexed="64"/>
          <bgColor rgb="FF642E33"/>
        </patternFill>
      </fill>
      <alignment horizontal="center" vertical="center" textRotation="0" wrapText="0" indent="0" justifyLastLine="0" shrinkToFit="0" readingOrder="0"/>
    </dxf>
    <dxf>
      <font>
        <b val="0"/>
        <i val="0"/>
        <strike val="0"/>
        <condense val="0"/>
        <extend val="0"/>
        <outline val="0"/>
        <shadow val="0"/>
        <u val="none"/>
        <vertAlign val="baseline"/>
        <sz val="25"/>
        <color auto="1"/>
        <name val="Times New Roman"/>
        <family val="1"/>
        <scheme val="none"/>
      </font>
      <fill>
        <patternFill patternType="solid">
          <fgColor indexed="64"/>
          <bgColor theme="0"/>
        </patternFill>
      </fill>
      <alignment horizontal="left" vertical="center"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strike val="0"/>
        <outline val="0"/>
        <shadow val="0"/>
        <vertAlign val="baseline"/>
        <sz val="25"/>
        <name val="Times New Roman"/>
        <family val="1"/>
        <scheme val="none"/>
      </font>
      <fill>
        <patternFill patternType="solid">
          <fgColor indexed="64"/>
          <bgColor theme="0"/>
        </patternFill>
      </fill>
      <alignment horizontal="left" vertical="center" textRotation="0" indent="0" justifyLastLine="0" shrinkToFit="0" readingOrder="0"/>
    </dxf>
    <dxf>
      <border>
        <bottom style="medium">
          <color indexed="64"/>
        </bottom>
      </border>
    </dxf>
    <dxf>
      <font>
        <strike val="0"/>
        <outline val="0"/>
        <shadow val="0"/>
        <u val="none"/>
        <vertAlign val="baseline"/>
        <sz val="25"/>
        <name val="Times New Roman"/>
        <family val="1"/>
        <scheme val="none"/>
      </font>
      <fill>
        <patternFill patternType="solid">
          <fgColor indexed="64"/>
          <bgColor theme="1"/>
        </patternFill>
      </fill>
      <alignment horizontal="left" vertical="center" textRotation="0" indent="0" justifyLastLine="0" shrinkToFit="0" readingOrder="0"/>
      <border diagonalUp="0" diagonalDown="0" outline="0">
        <left/>
        <right/>
        <top/>
        <bottom/>
      </border>
    </dxf>
    <dxf>
      <font>
        <b/>
        <i val="0"/>
        <strike val="0"/>
        <condense val="0"/>
        <extend val="0"/>
        <outline val="0"/>
        <shadow val="0"/>
        <u val="none"/>
        <vertAlign val="baseline"/>
        <sz val="25"/>
        <color theme="0"/>
        <name val="Times New Roman"/>
        <family val="1"/>
        <scheme val="none"/>
      </font>
      <numFmt numFmtId="2" formatCode="0.00"/>
      <fill>
        <patternFill patternType="solid">
          <fgColor indexed="64"/>
          <bgColor rgb="FF642E33"/>
        </patternFill>
      </fill>
      <alignment horizontal="center" vertical="center" textRotation="0" wrapText="0" indent="0" justifyLastLine="0" shrinkToFit="0" readingOrder="0"/>
    </dxf>
    <dxf>
      <font>
        <b val="0"/>
        <i val="0"/>
        <strike val="0"/>
        <condense val="0"/>
        <extend val="0"/>
        <outline val="0"/>
        <shadow val="0"/>
        <u val="none"/>
        <vertAlign val="baseline"/>
        <sz val="25"/>
        <color auto="1"/>
        <name val="Times New Roman"/>
        <family val="1"/>
        <scheme val="none"/>
      </font>
      <fill>
        <patternFill patternType="solid">
          <fgColor indexed="64"/>
          <bgColor theme="0"/>
        </patternFill>
      </fill>
      <alignment horizontal="left" vertical="center"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strike val="0"/>
        <outline val="0"/>
        <shadow val="0"/>
        <vertAlign val="baseline"/>
        <sz val="25"/>
        <name val="Times New Roman"/>
        <family val="1"/>
        <scheme val="none"/>
      </font>
      <fill>
        <patternFill patternType="solid">
          <fgColor indexed="64"/>
          <bgColor theme="0"/>
        </patternFill>
      </fill>
      <alignment horizontal="left" vertical="center" textRotation="0" indent="0" justifyLastLine="0" shrinkToFit="0" readingOrder="0"/>
    </dxf>
    <dxf>
      <font>
        <strike val="0"/>
        <outline val="0"/>
        <shadow val="0"/>
        <u val="none"/>
        <vertAlign val="baseline"/>
        <sz val="25"/>
        <name val="Times New Roman"/>
        <family val="1"/>
        <scheme val="none"/>
      </font>
      <fill>
        <patternFill patternType="solid">
          <fgColor indexed="64"/>
          <bgColor theme="1"/>
        </patternFill>
      </fill>
      <alignment horizontal="left" vertical="center" textRotation="0" indent="0" justifyLastLine="0" shrinkToFit="0" readingOrder="0"/>
      <border diagonalUp="0" diagonalDown="0" outline="0">
        <left/>
        <right/>
        <top/>
        <bottom/>
      </border>
    </dxf>
  </dxfs>
  <tableStyles count="0" defaultTableStyle="TableStyleMedium2" defaultPivotStyle="PivotStyleLight16"/>
  <colors>
    <mruColors>
      <color rgb="FFC17988"/>
      <color rgb="FFECD4D6"/>
      <color rgb="FFFFCFB5"/>
      <color rgb="FF642E33"/>
      <color rgb="FFEBAF8F"/>
      <color rgb="FFB88970"/>
      <color rgb="FFE2B4DD"/>
      <color rgb="FFFAC2CF"/>
      <color rgb="FFEE834A"/>
      <color rgb="FFF5839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
          <c:y val="8.4389826486157241E-2"/>
          <c:w val="0.97324996206262515"/>
          <c:h val="0.74404108863314866"/>
        </c:manualLayout>
      </c:layout>
      <c:pie3DChart>
        <c:varyColors val="1"/>
        <c:ser>
          <c:idx val="0"/>
          <c:order val="0"/>
          <c:dPt>
            <c:idx val="0"/>
            <c:bubble3D val="0"/>
            <c:spPr>
              <a:solidFill>
                <a:srgbClr val="642E33"/>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3-734F-494C-82CF-4610F02593DE}"/>
              </c:ext>
            </c:extLst>
          </c:dPt>
          <c:dPt>
            <c:idx val="1"/>
            <c:bubble3D val="0"/>
            <c:spPr>
              <a:solidFill>
                <a:srgbClr val="ECD4D6"/>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5-734F-494C-82CF-4610F02593DE}"/>
              </c:ext>
            </c:extLst>
          </c:dPt>
          <c:dPt>
            <c:idx val="2"/>
            <c:bubble3D val="0"/>
            <c:spPr>
              <a:solidFill>
                <a:srgbClr val="C17988"/>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4-734F-494C-82CF-4610F02593DE}"/>
              </c:ext>
            </c:extLst>
          </c:dPt>
          <c:dLbls>
            <c:dLbl>
              <c:idx val="0"/>
              <c:tx>
                <c:rich>
                  <a:bodyPr/>
                  <a:lstStyle/>
                  <a:p>
                    <a:fld id="{96B53A14-FABD-4B87-ABC8-9C84FAB0FA87}" type="CATEGORYNAME">
                      <a:rPr lang="en-US"/>
                      <a:pPr/>
                      <a:t>[NOME DA CATEGORIA]</a:t>
                    </a:fld>
                    <a:r>
                      <a:rPr lang="en-US"/>
                      <a:t> </a:t>
                    </a:r>
                  </a:p>
                  <a:p>
                    <a:fld id="{C49EADF7-2BFA-4905-84B3-2B132582900D}" type="VALUE">
                      <a:rPr lang="en-US" baseline="0"/>
                      <a:pPr/>
                      <a:t>[VALOR]</a:t>
                    </a:fld>
                    <a:endParaRPr lang="pt-BR"/>
                  </a:p>
                </c:rich>
              </c:tx>
              <c:dLblPos val="inEnd"/>
              <c:showLegendKey val="0"/>
              <c:showVal val="1"/>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734F-494C-82CF-4610F02593DE}"/>
                </c:ext>
              </c:extLst>
            </c:dLbl>
            <c:dLbl>
              <c:idx val="1"/>
              <c:tx>
                <c:rich>
                  <a:bodyPr/>
                  <a:lstStyle/>
                  <a:p>
                    <a:fld id="{518B4098-09BF-47D7-ABE2-B4836B9EE4FF}" type="CATEGORYNAME">
                      <a:rPr lang="en-US"/>
                      <a:pPr/>
                      <a:t>[NOME DA CATEGORIA]</a:t>
                    </a:fld>
                    <a:r>
                      <a:rPr lang="en-US" baseline="0"/>
                      <a:t> </a:t>
                    </a:r>
                  </a:p>
                  <a:p>
                    <a:fld id="{8EA50391-C4FE-4921-AD2B-C12BC3B55178}" type="VALUE">
                      <a:rPr lang="en-US" baseline="0"/>
                      <a:pPr/>
                      <a:t>[VALOR]</a:t>
                    </a:fld>
                    <a:endParaRPr lang="pt-BR"/>
                  </a:p>
                </c:rich>
              </c:tx>
              <c:dLblPos val="inEnd"/>
              <c:showLegendKey val="0"/>
              <c:showVal val="1"/>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734F-494C-82CF-4610F02593DE}"/>
                </c:ext>
              </c:extLst>
            </c:dLbl>
            <c:dLbl>
              <c:idx val="2"/>
              <c:tx>
                <c:rich>
                  <a:bodyPr/>
                  <a:lstStyle/>
                  <a:p>
                    <a:fld id="{C1BE08A6-8E4B-47EF-8B5F-2D3A7D3B737F}" type="CATEGORYNAME">
                      <a:rPr lang="en-US"/>
                      <a:pPr/>
                      <a:t>[NOME DA CATEGORIA]</a:t>
                    </a:fld>
                    <a:r>
                      <a:rPr lang="en-US" baseline="0"/>
                      <a:t> </a:t>
                    </a:r>
                    <a:fld id="{334C0D3F-03BC-45AD-A317-D817986F1884}" type="VALUE">
                      <a:rPr lang="en-US" baseline="0"/>
                      <a:pPr/>
                      <a:t>[VALOR]</a:t>
                    </a:fld>
                    <a:endParaRPr lang="en-US" baseline="0"/>
                  </a:p>
                </c:rich>
              </c:tx>
              <c:dLblPos val="inEnd"/>
              <c:showLegendKey val="0"/>
              <c:showVal val="1"/>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734F-494C-82CF-4610F02593DE}"/>
                </c:ext>
              </c:extLst>
            </c:dLbl>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lt1"/>
                    </a:solidFill>
                    <a:latin typeface="+mn-lt"/>
                    <a:ea typeface="+mn-ea"/>
                    <a:cs typeface="+mn-cs"/>
                  </a:defRPr>
                </a:pPr>
                <a:endParaRPr lang="pt-BR"/>
              </a:p>
            </c:txPr>
            <c:dLblPos val="inEnd"/>
            <c:showLegendKey val="0"/>
            <c:showVal val="1"/>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'Resumo custos'!$C$4:$C$6</c:f>
              <c:strCache>
                <c:ptCount val="3"/>
                <c:pt idx="0">
                  <c:v>Custos variáveis</c:v>
                </c:pt>
                <c:pt idx="1">
                  <c:v>Custos fixos exceto remuneração do capital e da terra</c:v>
                </c:pt>
                <c:pt idx="2">
                  <c:v>Custo de oportunidade do capital e da terra</c:v>
                </c:pt>
              </c:strCache>
            </c:strRef>
          </c:cat>
          <c:val>
            <c:numRef>
              <c:f>'Resumo custos'!$I$4:$I$6</c:f>
              <c:numCache>
                <c:formatCode>0.00%</c:formatCode>
                <c:ptCount val="3"/>
                <c:pt idx="0">
                  <c:v>0.81228115315663818</c:v>
                </c:pt>
                <c:pt idx="1">
                  <c:v>0.13259641465605149</c:v>
                </c:pt>
                <c:pt idx="2">
                  <c:v>5.5122432187310326E-2</c:v>
                </c:pt>
              </c:numCache>
            </c:numRef>
          </c:val>
          <c:extLst>
            <c:ext xmlns:c16="http://schemas.microsoft.com/office/drawing/2014/chart" uri="{C3380CC4-5D6E-409C-BE32-E72D297353CC}">
              <c16:uniqueId val="{00000000-734F-494C-82CF-4610F02593DE}"/>
            </c:ext>
          </c:extLst>
        </c:ser>
        <c:ser>
          <c:idx val="1"/>
          <c:order val="1"/>
          <c:dPt>
            <c:idx val="0"/>
            <c:bubble3D val="0"/>
            <c:spPr>
              <a:solidFill>
                <a:schemeClr val="accent1"/>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7-38CE-4D16-9B27-5913266649D9}"/>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pt-BR"/>
              </a:p>
            </c:txPr>
            <c:dLblPos val="ctr"/>
            <c:showLegendKey val="0"/>
            <c:showVal val="0"/>
            <c:showCatName val="1"/>
            <c:showSerName val="0"/>
            <c:showPercent val="0"/>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'Resumo custos'!$C$4:$C$6</c:f>
              <c:strCache>
                <c:ptCount val="3"/>
                <c:pt idx="0">
                  <c:v>Custos variáveis</c:v>
                </c:pt>
                <c:pt idx="1">
                  <c:v>Custos fixos exceto remuneração do capital e da terra</c:v>
                </c:pt>
                <c:pt idx="2">
                  <c:v>Custo de oportunidade do capital e da terra</c:v>
                </c:pt>
              </c:strCache>
            </c:strRef>
          </c:cat>
          <c:val>
            <c:numRef>
              <c:f>'Resumo custos'!#REF!</c:f>
              <c:numCache>
                <c:formatCode>General</c:formatCode>
                <c:ptCount val="1"/>
                <c:pt idx="0">
                  <c:v>1</c:v>
                </c:pt>
              </c:numCache>
            </c:numRef>
          </c:val>
          <c:extLst>
            <c:ext xmlns:c16="http://schemas.microsoft.com/office/drawing/2014/chart" uri="{C3380CC4-5D6E-409C-BE32-E72D297353CC}">
              <c16:uniqueId val="{00000001-734F-494C-82CF-4610F02593DE}"/>
            </c:ext>
          </c:extLst>
        </c:ser>
        <c:dLbls>
          <c:dLblPos val="ctr"/>
          <c:showLegendKey val="0"/>
          <c:showVal val="0"/>
          <c:showCatName val="1"/>
          <c:showSerName val="0"/>
          <c:showPercent val="0"/>
          <c:showBubbleSize val="0"/>
          <c:showLeaderLines val="1"/>
        </c:dLbls>
      </c:pie3DChart>
      <c:spPr>
        <a:noFill/>
        <a:ln>
          <a:noFill/>
        </a:ln>
        <a:effectLst/>
      </c:spPr>
    </c:plotArea>
    <c:legend>
      <c:legendPos val="b"/>
      <c:legendEntry>
        <c:idx val="0"/>
        <c:txPr>
          <a:bodyPr rot="0" spcFirstLastPara="1" vertOverflow="ellipsis" vert="horz" wrap="square" anchor="ctr" anchorCtr="1"/>
          <a:lstStyle/>
          <a:p>
            <a:pPr>
              <a:defRPr sz="2000" b="0" i="0" u="none" strike="noStrike" kern="0" baseline="0">
                <a:solidFill>
                  <a:schemeClr val="bg1"/>
                </a:solidFill>
                <a:latin typeface="+mn-lt"/>
                <a:ea typeface="+mn-ea"/>
                <a:cs typeface="+mn-cs"/>
              </a:defRPr>
            </a:pPr>
            <a:endParaRPr lang="pt-BR"/>
          </a:p>
        </c:txPr>
      </c:legendEntry>
      <c:legendEntry>
        <c:idx val="1"/>
        <c:txPr>
          <a:bodyPr rot="0" spcFirstLastPara="1" vertOverflow="ellipsis" vert="horz" wrap="square" anchor="ctr" anchorCtr="1"/>
          <a:lstStyle/>
          <a:p>
            <a:pPr>
              <a:defRPr sz="2000" b="0" i="0" u="none" strike="noStrike" kern="0" baseline="0">
                <a:solidFill>
                  <a:schemeClr val="bg1"/>
                </a:solidFill>
                <a:latin typeface="+mn-lt"/>
                <a:ea typeface="+mn-ea"/>
                <a:cs typeface="+mn-cs"/>
              </a:defRPr>
            </a:pPr>
            <a:endParaRPr lang="pt-BR"/>
          </a:p>
        </c:txPr>
      </c:legendEntry>
      <c:legendEntry>
        <c:idx val="2"/>
        <c:txPr>
          <a:bodyPr rot="0" spcFirstLastPara="1" vertOverflow="ellipsis" vert="horz" wrap="square" anchor="ctr" anchorCtr="1"/>
          <a:lstStyle/>
          <a:p>
            <a:pPr>
              <a:defRPr sz="2000" b="0" i="0" u="none" strike="noStrike" kern="0" baseline="0">
                <a:solidFill>
                  <a:schemeClr val="bg1"/>
                </a:solidFill>
                <a:latin typeface="+mn-lt"/>
                <a:ea typeface="+mn-ea"/>
                <a:cs typeface="+mn-cs"/>
              </a:defRPr>
            </a:pPr>
            <a:endParaRPr lang="pt-BR"/>
          </a:p>
        </c:txPr>
      </c:legendEntry>
      <c:layout>
        <c:manualLayout>
          <c:xMode val="edge"/>
          <c:yMode val="edge"/>
          <c:x val="2.5610474210109851E-2"/>
          <c:y val="0.83079534146680967"/>
          <c:w val="0.59247674023018937"/>
          <c:h val="0.14492178220703053"/>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2000" b="0" i="0" u="none" strike="noStrike" kern="0" baseline="0">
              <a:solidFill>
                <a:schemeClr val="dk1">
                  <a:lumMod val="75000"/>
                  <a:lumOff val="2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tx1"/>
    </a:solidFill>
    <a:ln w="9525" cap="flat" cmpd="sng" algn="ctr">
      <a:solidFill>
        <a:schemeClr val="dk1">
          <a:lumMod val="25000"/>
          <a:lumOff val="7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50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pt-BR" sz="5000"/>
              <a:t>Origem das receitas</a:t>
            </a:r>
          </a:p>
        </c:rich>
      </c:tx>
      <c:layout>
        <c:manualLayout>
          <c:xMode val="edge"/>
          <c:yMode val="edge"/>
          <c:x val="2.2196148332493303E-2"/>
          <c:y val="2.9827762795252476E-2"/>
        </c:manualLayout>
      </c:layout>
      <c:overlay val="0"/>
      <c:spPr>
        <a:noFill/>
        <a:ln>
          <a:noFill/>
        </a:ln>
        <a:effectLst/>
      </c:spPr>
      <c:txPr>
        <a:bodyPr rot="0" spcFirstLastPara="1" vertOverflow="ellipsis" vert="horz" wrap="square" anchor="ctr" anchorCtr="1"/>
        <a:lstStyle/>
        <a:p>
          <a:pPr>
            <a:defRPr sz="50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pt-B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873744694256442E-5"/>
          <c:y val="0.15737906536664903"/>
          <c:w val="0.89386475393594766"/>
          <c:h val="0.84262096315976598"/>
        </c:manualLayout>
      </c:layout>
      <c:pie3DChart>
        <c:varyColors val="1"/>
        <c:ser>
          <c:idx val="0"/>
          <c:order val="0"/>
          <c:dPt>
            <c:idx val="0"/>
            <c:bubble3D val="0"/>
            <c:spPr>
              <a:solidFill>
                <a:srgbClr val="642E33"/>
              </a:solidFill>
              <a:ln>
                <a:solidFill>
                  <a:srgbClr val="642E33"/>
                </a:solidFill>
              </a:ln>
              <a:effectLst>
                <a:outerShdw blurRad="57150" dist="19050" dir="5400000" algn="ctr" rotWithShape="0">
                  <a:srgbClr val="000000">
                    <a:alpha val="63000"/>
                  </a:srgbClr>
                </a:outerShdw>
              </a:effectLst>
              <a:sp3d>
                <a:contourClr>
                  <a:srgbClr val="642E33"/>
                </a:contourClr>
              </a:sp3d>
            </c:spPr>
            <c:extLst>
              <c:ext xmlns:c16="http://schemas.microsoft.com/office/drawing/2014/chart" uri="{C3380CC4-5D6E-409C-BE32-E72D297353CC}">
                <c16:uniqueId val="{00000001-3AB5-4A80-9426-75A3732BE1FA}"/>
              </c:ext>
            </c:extLst>
          </c:dPt>
          <c:dPt>
            <c:idx val="1"/>
            <c:bubble3D val="0"/>
            <c:spPr>
              <a:solidFill>
                <a:srgbClr val="ECD4D6"/>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AB5-4A80-9426-75A3732BE1FA}"/>
              </c:ext>
            </c:extLst>
          </c:dPt>
          <c:dPt>
            <c:idx val="2"/>
            <c:bubble3D val="0"/>
            <c:spPr>
              <a:solidFill>
                <a:srgbClr val="F5839E"/>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AB5-4A80-9426-75A3732BE1FA}"/>
              </c:ext>
            </c:extLst>
          </c:dPt>
          <c:dLbls>
            <c:dLbl>
              <c:idx val="0"/>
              <c:layout>
                <c:manualLayout>
                  <c:x val="-4.154705222251822E-2"/>
                  <c:y val="-0.24714699500061538"/>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AB5-4A80-9426-75A3732BE1FA}"/>
                </c:ext>
              </c:extLst>
            </c:dLbl>
            <c:dLbl>
              <c:idx val="1"/>
              <c:layout>
                <c:manualLayout>
                  <c:x val="-1.2622950656732234E-2"/>
                  <c:y val="-4.3281769145153817E-2"/>
                </c:manualLayout>
              </c:layout>
              <c:spPr>
                <a:solidFill>
                  <a:srgbClr val="ECD4D6"/>
                </a:solidFill>
                <a:ln>
                  <a:noFill/>
                </a:ln>
                <a:effectLst/>
              </c:spPr>
              <c:txPr>
                <a:bodyPr rot="0" spcFirstLastPara="1" vertOverflow="ellipsis" vert="horz" wrap="square" lIns="38100" tIns="19050" rIns="38100" bIns="19050" anchor="ctr" anchorCtr="1">
                  <a:spAutoFit/>
                </a:bodyPr>
                <a:lstStyle/>
                <a:p>
                  <a:pPr>
                    <a:defRPr sz="4000" b="1" i="0" u="none" strike="noStrike" kern="1200" baseline="0">
                      <a:solidFill>
                        <a:sysClr val="windowText" lastClr="000000"/>
                      </a:solidFill>
                      <a:latin typeface="+mn-lt"/>
                      <a:ea typeface="+mn-ea"/>
                      <a:cs typeface="+mn-cs"/>
                    </a:defRPr>
                  </a:pPr>
                  <a:endParaRPr lang="pt-BR"/>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AB5-4A80-9426-75A3732BE1FA}"/>
                </c:ext>
              </c:extLst>
            </c:dLbl>
            <c:dLbl>
              <c:idx val="2"/>
              <c:layout>
                <c:manualLayout>
                  <c:x val="8.4918031690744397E-2"/>
                  <c:y val="-3.4264733906580108E-2"/>
                </c:manualLayout>
              </c:layout>
              <c:spPr>
                <a:solidFill>
                  <a:srgbClr val="C17988"/>
                </a:solidFill>
                <a:ln>
                  <a:noFill/>
                </a:ln>
                <a:effectLst/>
              </c:spPr>
              <c:txPr>
                <a:bodyPr rot="0" spcFirstLastPara="1" vertOverflow="ellipsis" vert="horz" wrap="square" lIns="38100" tIns="19050" rIns="38100" bIns="19050" anchor="ctr" anchorCtr="1">
                  <a:spAutoFit/>
                </a:bodyPr>
                <a:lstStyle/>
                <a:p>
                  <a:pPr>
                    <a:defRPr sz="4000" b="1" i="0" u="none" strike="noStrike" kern="1200" baseline="0">
                      <a:solidFill>
                        <a:sysClr val="windowText" lastClr="000000"/>
                      </a:solidFill>
                      <a:latin typeface="+mn-lt"/>
                      <a:ea typeface="+mn-ea"/>
                      <a:cs typeface="+mn-cs"/>
                    </a:defRPr>
                  </a:pPr>
                  <a:endParaRPr lang="pt-BR"/>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AB5-4A80-9426-75A3732BE1FA}"/>
                </c:ext>
              </c:extLst>
            </c:dLbl>
            <c:spPr>
              <a:noFill/>
              <a:ln>
                <a:noFill/>
              </a:ln>
              <a:effectLst/>
            </c:spPr>
            <c:txPr>
              <a:bodyPr rot="0" spcFirstLastPara="1" vertOverflow="ellipsis" vert="horz" wrap="square" lIns="38100" tIns="19050" rIns="38100" bIns="19050" anchor="ctr" anchorCtr="1">
                <a:spAutoFit/>
              </a:bodyPr>
              <a:lstStyle/>
              <a:p>
                <a:pPr>
                  <a:defRPr sz="4000" b="1" i="0" u="none" strike="noStrike" kern="1200" baseline="0">
                    <a:solidFill>
                      <a:schemeClr val="lt1">
                        <a:lumMod val="85000"/>
                      </a:schemeClr>
                    </a:solidFill>
                    <a:latin typeface="+mn-lt"/>
                    <a:ea typeface="+mn-ea"/>
                    <a:cs typeface="+mn-cs"/>
                  </a:defRPr>
                </a:pPr>
                <a:endParaRPr lang="pt-BR"/>
              </a:p>
            </c:txPr>
            <c:dLblPos val="outEnd"/>
            <c:showLegendKey val="0"/>
            <c:showVal val="0"/>
            <c:showCatName val="0"/>
            <c:showSerName val="0"/>
            <c:showPercent val="1"/>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extLst>
          </c:dLbls>
          <c:cat>
            <c:strRef>
              <c:f>('Relatório econômico'!$C$7,'Relatório econômico'!$C$9,'Relatório econômico'!$C$10)</c:f>
              <c:strCache>
                <c:ptCount val="3"/>
                <c:pt idx="0">
                  <c:v>Cevado </c:v>
                </c:pt>
                <c:pt idx="1">
                  <c:v>Fêmeas de descarte </c:v>
                </c:pt>
                <c:pt idx="2">
                  <c:v>Machos de descarte </c:v>
                </c:pt>
              </c:strCache>
            </c:strRef>
          </c:cat>
          <c:val>
            <c:numRef>
              <c:f>('Relatório econômico'!$F$7,'Relatório econômico'!$F$9,'Relatório econômico'!$F$10)</c:f>
              <c:numCache>
                <c:formatCode>_("R$"* #,##0.00_);_("R$"* \(#,##0.00\);_("R$"* "-"??_);_(@_)</c:formatCode>
                <c:ptCount val="3"/>
                <c:pt idx="0">
                  <c:v>741764.10971773369</c:v>
                </c:pt>
                <c:pt idx="1">
                  <c:v>21251.36712328767</c:v>
                </c:pt>
                <c:pt idx="2">
                  <c:v>1031.1546575342466</c:v>
                </c:pt>
              </c:numCache>
            </c:numRef>
          </c:val>
          <c:extLst>
            <c:ext xmlns:c16="http://schemas.microsoft.com/office/drawing/2014/chart" uri="{C3380CC4-5D6E-409C-BE32-E72D297353CC}">
              <c16:uniqueId val="{00000006-3AB5-4A80-9426-75A3732BE1FA}"/>
            </c:ext>
          </c:extLst>
        </c:ser>
        <c:dLbls>
          <c:showLegendKey val="0"/>
          <c:showVal val="0"/>
          <c:showCatName val="0"/>
          <c:showSerName val="0"/>
          <c:showPercent val="0"/>
          <c:showBubbleSize val="0"/>
          <c:showLeaderLines val="1"/>
        </c:dLbls>
      </c:pie3DChart>
      <c:spPr>
        <a:noFill/>
        <a:ln>
          <a:noFill/>
        </a:ln>
        <a:effectLst/>
      </c:spPr>
    </c:plotArea>
    <c:legend>
      <c:legendPos val="r"/>
      <c:layout>
        <c:manualLayout>
          <c:xMode val="edge"/>
          <c:yMode val="edge"/>
          <c:x val="0.67317890191914209"/>
          <c:y val="2.8905074040987459E-2"/>
          <c:w val="0.30813532199419752"/>
          <c:h val="0.23305765713696366"/>
        </c:manualLayout>
      </c:layout>
      <c:overlay val="0"/>
      <c:spPr>
        <a:noFill/>
        <a:ln>
          <a:noFill/>
        </a:ln>
        <a:effectLst/>
      </c:spPr>
      <c:txPr>
        <a:bodyPr rot="0" spcFirstLastPara="1" vertOverflow="ellipsis" vert="horz" wrap="square" anchor="ctr" anchorCtr="1"/>
        <a:lstStyle/>
        <a:p>
          <a:pPr>
            <a:defRPr sz="3000" b="1" i="0" u="none" strike="noStrike" kern="1200" baseline="0">
              <a:solidFill>
                <a:schemeClr val="bg1"/>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tx1"/>
    </a:solidFill>
    <a:ln>
      <a:noFill/>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image" Target="../media/image2.png"/><Relationship Id="rId7"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hyperlink" Target="#'Dados da propriedade'!A1"/><Relationship Id="rId6" Type="http://schemas.microsoft.com/office/2007/relationships/hdphoto" Target="../media/hdphoto2.wdp"/><Relationship Id="rId5" Type="http://schemas.openxmlformats.org/officeDocument/2006/relationships/image" Target="../media/image3.png"/><Relationship Id="rId10" Type="http://schemas.openxmlformats.org/officeDocument/2006/relationships/hyperlink" Target="mailto:layakannan@usp.br?subject=CUSTOS%20DE%20PRODU&#199;&#195;O%20DE%20SU&#205;NOS%20-%20USP" TargetMode="External"/><Relationship Id="rId4" Type="http://schemas.microsoft.com/office/2007/relationships/hdphoto" Target="../media/hdphoto1.wdp"/><Relationship Id="rId9" Type="http://schemas.openxmlformats.org/officeDocument/2006/relationships/image" Target="../media/image6.png"/></Relationships>
</file>

<file path=xl/drawings/_rels/drawing10.xml.rels><?xml version="1.0" encoding="UTF-8" standalone="yes"?>
<Relationships xmlns="http://schemas.openxmlformats.org/package/2006/relationships"><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8" Type="http://schemas.openxmlformats.org/officeDocument/2006/relationships/hyperlink" Target="mailto:camilaraineri@ufu.br?subject=Modelo%20de%20c&#225;lculo%20de%20custos%20de%20produ&#231;&#227;o%20de%20su&#237;nos" TargetMode="External"/><Relationship Id="rId3" Type="http://schemas.openxmlformats.org/officeDocument/2006/relationships/image" Target="../media/image10.jpg"/><Relationship Id="rId7" Type="http://schemas.openxmlformats.org/officeDocument/2006/relationships/hyperlink" Target="mailto:gameiro@usp.br?subject=Modelo%20de%20c&#225;lculo%20de%20custos%20de%20produ&#231;&#227;o%20de%20su&#237;nos" TargetMode="External"/><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hyperlink" Target="mailto:cgarbossa@usp.br?subject=Modelo%20de%20c&#225;lculo%20de%20custos%20de%20produ&#231;&#227;o%20de%20su&#237;nos" TargetMode="External"/><Relationship Id="rId5" Type="http://schemas.openxmlformats.org/officeDocument/2006/relationships/image" Target="../media/image11.jpg"/><Relationship Id="rId4" Type="http://schemas.openxmlformats.org/officeDocument/2006/relationships/hyperlink" Target="https://api.whatsapp.com/send?phone=5534988188192&amp;text=Ol%C3%A1!%20Gostaria%20de%20solicitar%20mais%20informa%C3%A7%C3%B5es%20acerca%20do%20modelo%20de%20c%C3%A1lculo%20de%20custos%20de%20produ%C3%A7%C3%A3o%20para%20suinocultura." TargetMode="External"/></Relationships>
</file>

<file path=xl/drawings/_rels/drawing2.xml.rels><?xml version="1.0" encoding="UTF-8" standalone="yes"?>
<Relationships xmlns="http://schemas.openxmlformats.org/package/2006/relationships"><Relationship Id="rId8" Type="http://schemas.openxmlformats.org/officeDocument/2006/relationships/hyperlink" Target="#'Os autores'!A1"/><Relationship Id="rId3" Type="http://schemas.openxmlformats.org/officeDocument/2006/relationships/hyperlink" Target="#'Invent&#225;rio F&#237;sico'!A1"/><Relationship Id="rId7" Type="http://schemas.openxmlformats.org/officeDocument/2006/relationships/hyperlink" Target="#'Relat&#243;rio econ&#244;mico'!A1"/><Relationship Id="rId2" Type="http://schemas.openxmlformats.org/officeDocument/2006/relationships/hyperlink" Target="#'Plantel produtivo'!A1"/><Relationship Id="rId1" Type="http://schemas.openxmlformats.org/officeDocument/2006/relationships/hyperlink" Target="#'Caracteriza&#231;&#227;o do sistema'!A1"/><Relationship Id="rId6" Type="http://schemas.openxmlformats.org/officeDocument/2006/relationships/hyperlink" Target="#'Resumo custos'!A1"/><Relationship Id="rId5" Type="http://schemas.openxmlformats.org/officeDocument/2006/relationships/hyperlink" Target="#'Custo de produ&#231;&#227;o por lotes'!A1"/><Relationship Id="rId10" Type="http://schemas.openxmlformats.org/officeDocument/2006/relationships/image" Target="../media/image6.png"/><Relationship Id="rId4" Type="http://schemas.openxmlformats.org/officeDocument/2006/relationships/hyperlink" Target="#'Insumos e servi&#231;os'!A1"/><Relationship Id="rId9" Type="http://schemas.openxmlformats.org/officeDocument/2006/relationships/hyperlink" Target="#Instru&#231;&#245;es!A1"/></Relationships>
</file>

<file path=xl/drawings/_rels/drawing3.xml.rels><?xml version="1.0" encoding="UTF-8" standalone="yes"?>
<Relationships xmlns="http://schemas.openxmlformats.org/package/2006/relationships"><Relationship Id="rId3" Type="http://schemas.openxmlformats.org/officeDocument/2006/relationships/hyperlink" Target="#Instru&#231;&#245;es!A1"/><Relationship Id="rId2" Type="http://schemas.openxmlformats.org/officeDocument/2006/relationships/hyperlink" Target="#'Dados da propriedade'!A1"/><Relationship Id="rId1" Type="http://schemas.openxmlformats.org/officeDocument/2006/relationships/hyperlink" Target="#'Plantel produtivo'!A1"/><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Invent&#225;rio F&#237;sico'!A1"/></Relationships>
</file>

<file path=xl/drawings/_rels/drawing5.xml.rels><?xml version="1.0" encoding="UTF-8" standalone="yes"?>
<Relationships xmlns="http://schemas.openxmlformats.org/package/2006/relationships"><Relationship Id="rId3" Type="http://schemas.openxmlformats.org/officeDocument/2006/relationships/hyperlink" Target="#'Caracteriza&#231;&#227;o do sistema'!A1"/><Relationship Id="rId2" Type="http://schemas.openxmlformats.org/officeDocument/2006/relationships/image" Target="../media/image6.png"/><Relationship Id="rId1" Type="http://schemas.openxmlformats.org/officeDocument/2006/relationships/hyperlink" Target="#'Insumos e servi&#231;os'!A1"/></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usto de produ&#231;&#227;o por lotes'!A1"/><Relationship Id="rId1" Type="http://schemas.openxmlformats.org/officeDocument/2006/relationships/hyperlink" Target="#'Invent&#225;rio F&#237;sico'!A1"/></Relationships>
</file>

<file path=xl/drawings/_rels/drawing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Resumo custos'!A1"/></Relationships>
</file>

<file path=xl/drawings/_rels/drawing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chart" Target="../charts/chart1.xml"/><Relationship Id="rId1" Type="http://schemas.openxmlformats.org/officeDocument/2006/relationships/hyperlink" Target="#'Relat&#243;rio econ&#244;mico'!A1"/></Relationships>
</file>

<file path=xl/drawings/_rels/drawing9.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18</xdr:col>
      <xdr:colOff>295642</xdr:colOff>
      <xdr:row>146</xdr:row>
      <xdr:rowOff>226787</xdr:rowOff>
    </xdr:from>
    <xdr:to>
      <xdr:col>23</xdr:col>
      <xdr:colOff>294820</xdr:colOff>
      <xdr:row>151</xdr:row>
      <xdr:rowOff>279978</xdr:rowOff>
    </xdr:to>
    <xdr:sp macro="" textlink="">
      <xdr:nvSpPr>
        <xdr:cNvPr id="2" name="Retângulo: Biselado 8">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a:off x="11317428" y="41433751"/>
          <a:ext cx="3060785" cy="1640691"/>
        </a:xfrm>
        <a:prstGeom prst="bevel">
          <a:avLst/>
        </a:prstGeom>
        <a:solidFill>
          <a:srgbClr val="C17988"/>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3000" b="1">
              <a:solidFill>
                <a:schemeClr val="bg1"/>
              </a:solidFill>
              <a:latin typeface="+mn-lt"/>
            </a:rPr>
            <a:t>Próxima página</a:t>
          </a:r>
        </a:p>
      </xdr:txBody>
    </xdr:sp>
    <xdr:clientData/>
  </xdr:twoCellAnchor>
  <xdr:twoCellAnchor editAs="oneCell">
    <xdr:from>
      <xdr:col>15</xdr:col>
      <xdr:colOff>102937</xdr:colOff>
      <xdr:row>5</xdr:row>
      <xdr:rowOff>81548</xdr:rowOff>
    </xdr:from>
    <xdr:to>
      <xdr:col>18</xdr:col>
      <xdr:colOff>566093</xdr:colOff>
      <xdr:row>11</xdr:row>
      <xdr:rowOff>18653</xdr:rowOff>
    </xdr:to>
    <xdr:pic>
      <xdr:nvPicPr>
        <xdr:cNvPr id="4" name="Imagem 3" descr="Logotipos | Universidade de São Paulo">
          <a:extLst>
            <a:ext uri="{FF2B5EF4-FFF2-40B4-BE49-F238E27FC236}">
              <a16:creationId xmlns:a16="http://schemas.microsoft.com/office/drawing/2014/main" id="{9FB1B7AC-A956-4F69-86C8-A65BDFBF2FC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637337" y="1557923"/>
          <a:ext cx="2291956" cy="17186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65275</xdr:colOff>
      <xdr:row>0</xdr:row>
      <xdr:rowOff>135855</xdr:rowOff>
    </xdr:from>
    <xdr:to>
      <xdr:col>4</xdr:col>
      <xdr:colOff>248047</xdr:colOff>
      <xdr:row>10</xdr:row>
      <xdr:rowOff>67804</xdr:rowOff>
    </xdr:to>
    <xdr:pic>
      <xdr:nvPicPr>
        <xdr:cNvPr id="12" name="Imagem 11" descr="Brasão | Universidade de São Paulo">
          <a:extLst>
            <a:ext uri="{FF2B5EF4-FFF2-40B4-BE49-F238E27FC236}">
              <a16:creationId xmlns:a16="http://schemas.microsoft.com/office/drawing/2014/main" id="{2F090BAD-4052-4A66-BAC5-A1BDDF086244}"/>
            </a:ext>
          </a:extLst>
        </xdr:cNvPr>
        <xdr:cNvPicPr>
          <a:picLocks noChangeAspect="1" noChangeArrowheads="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2344" b="98828" l="1961" r="94398">
                      <a14:foregroundMark x1="27171" y1="29883" x2="28291" y2="43164"/>
                      <a14:foregroundMark x1="28291" y1="43164" x2="34174" y2="53320"/>
                      <a14:foregroundMark x1="34174" y1="53320" x2="47619" y2="65234"/>
                      <a14:foregroundMark x1="47619" y1="65234" x2="60224" y2="70898"/>
                      <a14:foregroundMark x1="60224" y1="70898" x2="71148" y2="73242"/>
                      <a14:foregroundMark x1="80112" y1="31250" x2="77591" y2="57227"/>
                      <a14:foregroundMark x1="77591" y1="57227" x2="70588" y2="75977"/>
                      <a14:foregroundMark x1="17367" y1="35742" x2="28571" y2="60742"/>
                      <a14:foregroundMark x1="28571" y1="60742" x2="62864" y2="82316"/>
                      <a14:foregroundMark x1="68577" y1="85091" x2="77031" y2="87891"/>
                      <a14:foregroundMark x1="66415" y1="84375" x2="66922" y2="84543"/>
                      <a14:foregroundMark x1="12744" y1="33908" x2="50700" y2="42578"/>
                      <a14:foregroundMark x1="50700" y1="42578" x2="71429" y2="65625"/>
                      <a14:foregroundMark x1="23473" y1="12590" x2="40056" y2="15430"/>
                      <a14:foregroundMark x1="40056" y1="15430" x2="76055" y2="14227"/>
                      <a14:foregroundMark x1="36134" y1="5664" x2="54783" y2="767"/>
                      <a14:foregroundMark x1="65481" y1="4936" x2="53782" y2="9375"/>
                      <a14:foregroundMark x1="53782" y1="9375" x2="29232" y2="9066"/>
                      <a14:foregroundMark x1="29156" y1="18164" x2="30532" y2="20117"/>
                      <a14:foregroundMark x1="24700" y1="11839" x2="29156" y2="18164"/>
                      <a14:foregroundMark x1="30532" y1="20117" x2="48179" y2="21680"/>
                      <a14:foregroundMark x1="38375" y1="2734" x2="60504" y2="5859"/>
                      <a14:foregroundMark x1="59944" y1="4102" x2="77591" y2="21875"/>
                      <a14:foregroundMark x1="55182" y1="11719" x2="59944" y2="24609"/>
                      <a14:foregroundMark x1="46779" y1="13477" x2="33053" y2="19922"/>
                      <a14:foregroundMark x1="33053" y1="19922" x2="31933" y2="20117"/>
                      <a14:foregroundMark x1="49300" y1="11328" x2="65826" y2="23242"/>
                      <a14:foregroundMark x1="9962" y1="66797" x2="14286" y2="74414"/>
                      <a14:foregroundMark x1="8964" y1="65039" x2="9962" y2="66797"/>
                      <a14:foregroundMark x1="14286" y1="74414" x2="24618" y2="79413"/>
                      <a14:foregroundMark x1="30083" y1="84291" x2="35014" y2="91992"/>
                      <a14:foregroundMark x1="35014" y1="91992" x2="45938" y2="98242"/>
                      <a14:foregroundMark x1="45938" y1="98242" x2="73950" y2="88672"/>
                      <a14:foregroundMark x1="73950" y1="88672" x2="80952" y2="79102"/>
                      <a14:foregroundMark x1="80952" y1="79102" x2="93557" y2="72266"/>
                      <a14:foregroundMark x1="93557" y1="72266" x2="94398" y2="70898"/>
                      <a14:foregroundMark x1="68908" y1="89258" x2="37815" y2="95313"/>
                      <a14:foregroundMark x1="37815" y1="95313" x2="32493" y2="91406"/>
                      <a14:foregroundMark x1="50140" y1="98828" x2="50140" y2="98828"/>
                      <a14:foregroundMark x1="26611" y1="18164" x2="26611" y2="18164"/>
                      <a14:foregroundMark x1="50980" y1="35547" x2="50700" y2="42969"/>
                      <a14:foregroundMark x1="27171" y1="17969" x2="25490" y2="18359"/>
                      <a14:backgroundMark x1="7003" y1="66797" x2="7003" y2="66797"/>
                      <a14:backgroundMark x1="66387" y1="84375" x2="66387" y2="84375"/>
                      <a14:backgroundMark x1="68627" y1="83789" x2="65546" y2="84961"/>
                      <a14:backgroundMark x1="68347" y1="84766" x2="66667" y2="84180"/>
                      <a14:backgroundMark x1="93277" y1="65820" x2="93277" y2="65820"/>
                      <a14:backgroundMark x1="92997" y1="66211" x2="92997" y2="66211"/>
                      <a14:backgroundMark x1="8403" y1="32227" x2="5882" y2="40039"/>
                      <a14:backgroundMark x1="2801" y1="29688" x2="6162" y2="41016"/>
                      <a14:backgroundMark x1="26050" y1="6641" x2="12325" y2="15039"/>
                      <a14:backgroundMark x1="14006" y1="9570" x2="280" y2="11719"/>
                      <a14:backgroundMark x1="75350" y1="4492" x2="54342" y2="195"/>
                      <a14:backgroundMark x1="54342" y1="195" x2="54342" y2="195"/>
                      <a14:backgroundMark x1="79272" y1="13477" x2="79272" y2="13477"/>
                      <a14:backgroundMark x1="79272" y1="14063" x2="79272" y2="14063"/>
                      <a14:backgroundMark x1="79552" y1="10938" x2="78992" y2="14453"/>
                      <a14:backgroundMark x1="27451" y1="80859" x2="27451" y2="80859"/>
                      <a14:backgroundMark x1="27451" y1="80859" x2="27451" y2="80859"/>
                      <a14:backgroundMark x1="26331" y1="78711" x2="29692" y2="82227"/>
                      <a14:backgroundMark x1="30812" y1="83203" x2="28291" y2="81250"/>
                    </a14:backgroundRemoval>
                  </a14:imgEffect>
                </a14:imgLayer>
              </a14:imgProps>
            </a:ext>
            <a:ext uri="{28A0092B-C50C-407E-A947-70E740481C1C}">
              <a14:useLocalDpi xmlns:a14="http://schemas.microsoft.com/office/drawing/2010/main" val="0"/>
            </a:ext>
          </a:extLst>
        </a:blip>
        <a:srcRect/>
        <a:stretch>
          <a:fillRect/>
        </a:stretch>
      </xdr:blipFill>
      <xdr:spPr bwMode="auto">
        <a:xfrm>
          <a:off x="670509" y="135855"/>
          <a:ext cx="1998476" cy="29085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341231</xdr:colOff>
      <xdr:row>0</xdr:row>
      <xdr:rowOff>88067</xdr:rowOff>
    </xdr:from>
    <xdr:to>
      <xdr:col>18</xdr:col>
      <xdr:colOff>215901</xdr:colOff>
      <xdr:row>6</xdr:row>
      <xdr:rowOff>11866</xdr:rowOff>
    </xdr:to>
    <xdr:pic>
      <xdr:nvPicPr>
        <xdr:cNvPr id="14" name="Imagem 13" descr="Portfolio da Solution Network Provider | SOLUTION NETWORK PROVIDER">
          <a:extLst>
            <a:ext uri="{FF2B5EF4-FFF2-40B4-BE49-F238E27FC236}">
              <a16:creationId xmlns:a16="http://schemas.microsoft.com/office/drawing/2014/main" id="{7E1C962B-E5EB-41E9-89EF-A4AB0A24A21D}"/>
            </a:ext>
          </a:extLst>
        </xdr:cNvPr>
        <xdr:cNvPicPr>
          <a:picLocks noChangeAspect="1" noChangeArrowheads="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ackgroundRemoval t="2539" b="96875" l="3125" r="99219">
                      <a14:foregroundMark x1="6445" y1="54297" x2="9375" y2="68750"/>
                      <a14:foregroundMark x1="9375" y1="68750" x2="26758" y2="86914"/>
                      <a14:foregroundMark x1="26758" y1="86914" x2="43359" y2="92188"/>
                      <a14:foregroundMark x1="43359" y1="92188" x2="54297" y2="92188"/>
                      <a14:foregroundMark x1="54297" y1="92188" x2="80469" y2="83203"/>
                      <a14:foregroundMark x1="80469" y1="83203" x2="89258" y2="91016"/>
                      <a14:foregroundMark x1="77930" y1="88867" x2="54492" y2="92578"/>
                      <a14:foregroundMark x1="54492" y1="92578" x2="19336" y2="82813"/>
                      <a14:foregroundMark x1="19336" y1="82813" x2="3711" y2="53125"/>
                      <a14:foregroundMark x1="3711" y1="53125" x2="3320" y2="52344"/>
                      <a14:foregroundMark x1="23047" y1="88867" x2="32422" y2="93945"/>
                      <a14:foregroundMark x1="32422" y1="93945" x2="55664" y2="98438"/>
                      <a14:foregroundMark x1="55664" y1="98438" x2="65820" y2="96875"/>
                      <a14:foregroundMark x1="65820" y1="96875" x2="76953" y2="90234"/>
                      <a14:foregroundMark x1="23242" y1="16211" x2="46875" y2="4102"/>
                      <a14:foregroundMark x1="46875" y1="4102" x2="58008" y2="2539"/>
                      <a14:foregroundMark x1="58008" y1="2539" x2="75781" y2="3125"/>
                      <a14:foregroundMark x1="75781" y1="3125" x2="84180" y2="10156"/>
                      <a14:foregroundMark x1="84180" y1="10156" x2="98242" y2="52344"/>
                      <a14:foregroundMark x1="98242" y1="52344" x2="97656" y2="62500"/>
                      <a14:foregroundMark x1="97656" y1="62500" x2="91797" y2="70703"/>
                      <a14:foregroundMark x1="91797" y1="70703" x2="88086" y2="81250"/>
                      <a14:foregroundMark x1="88086" y1="81250" x2="88086" y2="81445"/>
                      <a14:foregroundMark x1="52930" y1="5078" x2="91797" y2="15625"/>
                      <a14:foregroundMark x1="91797" y1="15625" x2="99219" y2="20313"/>
                      <a14:foregroundMark x1="74023" y1="5469" x2="36719" y2="2539"/>
                      <a14:foregroundMark x1="36719" y1="2539" x2="25391" y2="5859"/>
                      <a14:backgroundMark x1="6641" y1="92773" x2="8203" y2="98242"/>
                    </a14:backgroundRemoval>
                  </a14:imgEffect>
                </a14:imgLayer>
              </a14:imgProps>
            </a:ext>
            <a:ext uri="{28A0092B-C50C-407E-A947-70E740481C1C}">
              <a14:useLocalDpi xmlns:a14="http://schemas.microsoft.com/office/drawing/2010/main" val="0"/>
            </a:ext>
          </a:extLst>
        </a:blip>
        <a:srcRect/>
        <a:stretch>
          <a:fillRect/>
        </a:stretch>
      </xdr:blipFill>
      <xdr:spPr bwMode="auto">
        <a:xfrm>
          <a:off x="8875631" y="88067"/>
          <a:ext cx="1703470" cy="1695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468178</xdr:colOff>
      <xdr:row>2</xdr:row>
      <xdr:rowOff>193507</xdr:rowOff>
    </xdr:from>
    <xdr:to>
      <xdr:col>11</xdr:col>
      <xdr:colOff>27641</xdr:colOff>
      <xdr:row>8</xdr:row>
      <xdr:rowOff>66675</xdr:rowOff>
    </xdr:to>
    <xdr:pic>
      <xdr:nvPicPr>
        <xdr:cNvPr id="20" name="Imagem 19">
          <a:extLst>
            <a:ext uri="{FF2B5EF4-FFF2-40B4-BE49-F238E27FC236}">
              <a16:creationId xmlns:a16="http://schemas.microsoft.com/office/drawing/2014/main" id="{C960F209-B3B5-406A-A480-0225DDFAEC97}"/>
            </a:ext>
          </a:extLst>
        </xdr:cNvPr>
        <xdr:cNvPicPr>
          <a:picLocks noChangeAspect="1"/>
        </xdr:cNvPicPr>
      </xdr:nvPicPr>
      <xdr:blipFill>
        <a:blip xmlns:r="http://schemas.openxmlformats.org/officeDocument/2006/relationships" r:embed="rId7" cstate="print">
          <a:duotone>
            <a:prstClr val="black"/>
            <a:srgbClr val="FAC2CF">
              <a:tint val="45000"/>
              <a:satMod val="400000"/>
            </a:srgbClr>
          </a:duotone>
          <a:extLst>
            <a:ext uri="{28A0092B-C50C-407E-A947-70E740481C1C}">
              <a14:useLocalDpi xmlns:a14="http://schemas.microsoft.com/office/drawing/2010/main" val="0"/>
            </a:ext>
          </a:extLst>
        </a:blip>
        <a:stretch>
          <a:fillRect/>
        </a:stretch>
      </xdr:blipFill>
      <xdr:spPr>
        <a:xfrm>
          <a:off x="2296978" y="784057"/>
          <a:ext cx="3826662" cy="1644818"/>
        </a:xfrm>
        <a:prstGeom prst="rect">
          <a:avLst/>
        </a:prstGeom>
      </xdr:spPr>
    </xdr:pic>
    <xdr:clientData/>
  </xdr:twoCellAnchor>
  <xdr:twoCellAnchor editAs="oneCell">
    <xdr:from>
      <xdr:col>11</xdr:col>
      <xdr:colOff>332184</xdr:colOff>
      <xdr:row>0</xdr:row>
      <xdr:rowOff>212412</xdr:rowOff>
    </xdr:from>
    <xdr:to>
      <xdr:col>14</xdr:col>
      <xdr:colOff>541734</xdr:colOff>
      <xdr:row>9</xdr:row>
      <xdr:rowOff>114301</xdr:rowOff>
    </xdr:to>
    <xdr:pic>
      <xdr:nvPicPr>
        <xdr:cNvPr id="25" name="Imagem 24">
          <a:extLst>
            <a:ext uri="{FF2B5EF4-FFF2-40B4-BE49-F238E27FC236}">
              <a16:creationId xmlns:a16="http://schemas.microsoft.com/office/drawing/2014/main" id="{A38E4C14-F980-4ECD-BC11-F9B10A7940B3}"/>
            </a:ext>
          </a:extLst>
        </xdr:cNvPr>
        <xdr:cNvPicPr>
          <a:picLocks noChangeAspect="1"/>
        </xdr:cNvPicPr>
      </xdr:nvPicPr>
      <xdr:blipFill>
        <a:blip xmlns:r="http://schemas.openxmlformats.org/officeDocument/2006/relationships" r:embed="rId8">
          <a:duotone>
            <a:prstClr val="black"/>
            <a:srgbClr val="642E33">
              <a:tint val="45000"/>
              <a:satMod val="400000"/>
            </a:srgbClr>
          </a:duotone>
          <a:extLst>
            <a:ext uri="{28A0092B-C50C-407E-A947-70E740481C1C}">
              <a14:useLocalDpi xmlns:a14="http://schemas.microsoft.com/office/drawing/2010/main" val="0"/>
            </a:ext>
          </a:extLst>
        </a:blip>
        <a:stretch>
          <a:fillRect/>
        </a:stretch>
      </xdr:blipFill>
      <xdr:spPr>
        <a:xfrm>
          <a:off x="6989762" y="212412"/>
          <a:ext cx="2025253" cy="2580795"/>
        </a:xfrm>
        <a:prstGeom prst="rect">
          <a:avLst/>
        </a:prstGeom>
      </xdr:spPr>
    </xdr:pic>
    <xdr:clientData/>
  </xdr:twoCellAnchor>
  <xdr:twoCellAnchor editAs="oneCell">
    <xdr:from>
      <xdr:col>13</xdr:col>
      <xdr:colOff>575469</xdr:colOff>
      <xdr:row>14</xdr:row>
      <xdr:rowOff>23593</xdr:rowOff>
    </xdr:from>
    <xdr:to>
      <xdr:col>17</xdr:col>
      <xdr:colOff>564908</xdr:colOff>
      <xdr:row>19</xdr:row>
      <xdr:rowOff>286172</xdr:rowOff>
    </xdr:to>
    <xdr:pic>
      <xdr:nvPicPr>
        <xdr:cNvPr id="26" name="Imagem 25">
          <a:extLst>
            <a:ext uri="{FF2B5EF4-FFF2-40B4-BE49-F238E27FC236}">
              <a16:creationId xmlns:a16="http://schemas.microsoft.com/office/drawing/2014/main" id="{9179B8AD-A3E2-4E55-A4C0-48C52783E9CA}"/>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443516" y="4369374"/>
          <a:ext cx="2410376" cy="1750860"/>
        </a:xfrm>
        <a:prstGeom prst="rect">
          <a:avLst/>
        </a:prstGeom>
      </xdr:spPr>
    </xdr:pic>
    <xdr:clientData/>
  </xdr:twoCellAnchor>
  <xdr:twoCellAnchor>
    <xdr:from>
      <xdr:col>7</xdr:col>
      <xdr:colOff>45357</xdr:colOff>
      <xdr:row>148</xdr:row>
      <xdr:rowOff>226786</xdr:rowOff>
    </xdr:from>
    <xdr:to>
      <xdr:col>12</xdr:col>
      <xdr:colOff>220435</xdr:colOff>
      <xdr:row>151</xdr:row>
      <xdr:rowOff>68036</xdr:rowOff>
    </xdr:to>
    <xdr:sp macro="" textlink="">
      <xdr:nvSpPr>
        <xdr:cNvPr id="27" name="Retângulo: Biselado 8">
          <a:hlinkClick xmlns:r="http://schemas.openxmlformats.org/officeDocument/2006/relationships" r:id="rId10"/>
          <a:extLst>
            <a:ext uri="{FF2B5EF4-FFF2-40B4-BE49-F238E27FC236}">
              <a16:creationId xmlns:a16="http://schemas.microsoft.com/office/drawing/2014/main" id="{F6A3645C-A73C-41C7-B970-FBDC8E174266}"/>
            </a:ext>
          </a:extLst>
        </xdr:cNvPr>
        <xdr:cNvSpPr/>
      </xdr:nvSpPr>
      <xdr:spPr>
        <a:xfrm>
          <a:off x="4331607" y="42136786"/>
          <a:ext cx="3236685" cy="725714"/>
        </a:xfrm>
        <a:prstGeom prst="bevel">
          <a:avLst/>
        </a:prstGeom>
        <a:solidFill>
          <a:srgbClr val="C17988"/>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2000" b="1">
              <a:solidFill>
                <a:schemeClr val="bg1"/>
              </a:solidFill>
              <a:latin typeface="+mn-lt"/>
            </a:rPr>
            <a:t>ENTRE</a:t>
          </a:r>
          <a:r>
            <a:rPr lang="pt-BR" sz="2000" b="1" baseline="0">
              <a:solidFill>
                <a:schemeClr val="bg1"/>
              </a:solidFill>
              <a:latin typeface="+mn-lt"/>
            </a:rPr>
            <a:t> EM CONTATO</a:t>
          </a:r>
          <a:endParaRPr lang="pt-BR" sz="2000" b="1">
            <a:solidFill>
              <a:schemeClr val="bg1"/>
            </a:solidFill>
            <a:latin typeface="+mn-lt"/>
          </a:endParaRP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0.6948</cdr:x>
      <cdr:y>0.72368</cdr:y>
    </cdr:from>
    <cdr:to>
      <cdr:x>1</cdr:x>
      <cdr:y>0.98865</cdr:y>
    </cdr:to>
    <cdr:pic>
      <cdr:nvPicPr>
        <cdr:cNvPr id="3" name="Imagem 2">
          <a:extLst xmlns:a="http://schemas.openxmlformats.org/drawingml/2006/main">
            <a:ext uri="{FF2B5EF4-FFF2-40B4-BE49-F238E27FC236}">
              <a16:creationId xmlns:a16="http://schemas.microsoft.com/office/drawing/2014/main" id="{C32E89B9-2ABF-4EE9-A34C-2A1885C3C9F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9344989" y="8616332"/>
          <a:ext cx="4104822" cy="3154781"/>
        </a:xfrm>
        <a:prstGeom xmlns:a="http://schemas.openxmlformats.org/drawingml/2006/main" prst="rect">
          <a:avLst/>
        </a:prstGeom>
      </cdr:spPr>
    </cdr:pic>
  </cdr:relSizeAnchor>
</c:userShapes>
</file>

<file path=xl/drawings/drawing11.xml><?xml version="1.0" encoding="utf-8"?>
<xdr:wsDr xmlns:xdr="http://schemas.openxmlformats.org/drawingml/2006/spreadsheetDrawing" xmlns:a="http://schemas.openxmlformats.org/drawingml/2006/main">
  <xdr:twoCellAnchor editAs="oneCell">
    <xdr:from>
      <xdr:col>7</xdr:col>
      <xdr:colOff>0</xdr:colOff>
      <xdr:row>20</xdr:row>
      <xdr:rowOff>43297</xdr:rowOff>
    </xdr:from>
    <xdr:to>
      <xdr:col>10</xdr:col>
      <xdr:colOff>593100</xdr:colOff>
      <xdr:row>33</xdr:row>
      <xdr:rowOff>86591</xdr:rowOff>
    </xdr:to>
    <xdr:pic>
      <xdr:nvPicPr>
        <xdr:cNvPr id="2" name="Imagem 1">
          <a:extLst>
            <a:ext uri="{FF2B5EF4-FFF2-40B4-BE49-F238E27FC236}">
              <a16:creationId xmlns:a16="http://schemas.microsoft.com/office/drawing/2014/main" id="{28BD252F-895D-4D88-98F4-5B27A1A800BB}"/>
            </a:ext>
          </a:extLst>
        </xdr:cNvPr>
        <xdr:cNvPicPr>
          <a:picLocks noChangeAspect="1"/>
        </xdr:cNvPicPr>
      </xdr:nvPicPr>
      <xdr:blipFill rotWithShape="1">
        <a:blip xmlns:r="http://schemas.openxmlformats.org/officeDocument/2006/relationships" r:embed="rId1"/>
        <a:srcRect l="7409" t="18351" r="71877" b="26259"/>
        <a:stretch/>
      </xdr:blipFill>
      <xdr:spPr>
        <a:xfrm>
          <a:off x="4267200" y="3862822"/>
          <a:ext cx="2421900" cy="2519794"/>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0</xdr:col>
      <xdr:colOff>600076</xdr:colOff>
      <xdr:row>20</xdr:row>
      <xdr:rowOff>66660</xdr:rowOff>
    </xdr:from>
    <xdr:to>
      <xdr:col>5</xdr:col>
      <xdr:colOff>47625</xdr:colOff>
      <xdr:row>33</xdr:row>
      <xdr:rowOff>85709</xdr:rowOff>
    </xdr:to>
    <xdr:pic>
      <xdr:nvPicPr>
        <xdr:cNvPr id="3" name="Imagem 2">
          <a:extLst>
            <a:ext uri="{FF2B5EF4-FFF2-40B4-BE49-F238E27FC236}">
              <a16:creationId xmlns:a16="http://schemas.microsoft.com/office/drawing/2014/main" id="{78746F24-05B5-41D4-B80D-73B046EE502C}"/>
            </a:ext>
          </a:extLst>
        </xdr:cNvPr>
        <xdr:cNvPicPr>
          <a:picLocks noChangeAspect="1"/>
        </xdr:cNvPicPr>
      </xdr:nvPicPr>
      <xdr:blipFill>
        <a:blip xmlns:r="http://schemas.openxmlformats.org/officeDocument/2006/relationships" r:embed="rId2"/>
        <a:stretch>
          <a:fillRect/>
        </a:stretch>
      </xdr:blipFill>
      <xdr:spPr>
        <a:xfrm>
          <a:off x="600076" y="3886185"/>
          <a:ext cx="2495549" cy="2495549"/>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0</xdr:col>
      <xdr:colOff>600076</xdr:colOff>
      <xdr:row>0</xdr:row>
      <xdr:rowOff>114301</xdr:rowOff>
    </xdr:from>
    <xdr:to>
      <xdr:col>5</xdr:col>
      <xdr:colOff>47625</xdr:colOff>
      <xdr:row>13</xdr:row>
      <xdr:rowOff>133350</xdr:rowOff>
    </xdr:to>
    <xdr:pic>
      <xdr:nvPicPr>
        <xdr:cNvPr id="4" name="Imagem 3">
          <a:extLst>
            <a:ext uri="{FF2B5EF4-FFF2-40B4-BE49-F238E27FC236}">
              <a16:creationId xmlns:a16="http://schemas.microsoft.com/office/drawing/2014/main" id="{762C835D-7D4E-431A-BA19-BF58E044BA5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00076" y="114301"/>
          <a:ext cx="2495549" cy="2495549"/>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0</xdr:col>
      <xdr:colOff>548408</xdr:colOff>
      <xdr:row>15</xdr:row>
      <xdr:rowOff>47624</xdr:rowOff>
    </xdr:from>
    <xdr:to>
      <xdr:col>5</xdr:col>
      <xdr:colOff>57727</xdr:colOff>
      <xdr:row>18</xdr:row>
      <xdr:rowOff>10258</xdr:rowOff>
    </xdr:to>
    <xdr:sp macro="" textlink="">
      <xdr:nvSpPr>
        <xdr:cNvPr id="5" name="Retângulo: Biselado 8">
          <a:hlinkClick xmlns:r="http://schemas.openxmlformats.org/officeDocument/2006/relationships" r:id="rId4"/>
          <a:extLst>
            <a:ext uri="{FF2B5EF4-FFF2-40B4-BE49-F238E27FC236}">
              <a16:creationId xmlns:a16="http://schemas.microsoft.com/office/drawing/2014/main" id="{53BF5345-EEB6-4BF8-9F8B-BACADCF669C6}"/>
            </a:ext>
          </a:extLst>
        </xdr:cNvPr>
        <xdr:cNvSpPr/>
      </xdr:nvSpPr>
      <xdr:spPr>
        <a:xfrm>
          <a:off x="548408" y="2905124"/>
          <a:ext cx="2557319" cy="534134"/>
        </a:xfrm>
        <a:prstGeom prst="bevel">
          <a:avLst/>
        </a:prstGeom>
        <a:solidFill>
          <a:srgbClr val="642E33"/>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bg1"/>
              </a:solidFill>
              <a:latin typeface="+mn-lt"/>
            </a:rPr>
            <a:t>Envie</a:t>
          </a:r>
          <a:r>
            <a:rPr lang="pt-BR" sz="1600" b="1" baseline="0">
              <a:solidFill>
                <a:schemeClr val="bg1"/>
              </a:solidFill>
              <a:latin typeface="+mn-lt"/>
            </a:rPr>
            <a:t> uma mensagem</a:t>
          </a:r>
          <a:endParaRPr lang="pt-BR" sz="1600" b="1">
            <a:solidFill>
              <a:schemeClr val="bg1"/>
            </a:solidFill>
            <a:latin typeface="+mn-lt"/>
          </a:endParaRPr>
        </a:p>
      </xdr:txBody>
    </xdr:sp>
    <xdr:clientData/>
  </xdr:twoCellAnchor>
  <xdr:twoCellAnchor editAs="oneCell">
    <xdr:from>
      <xdr:col>7</xdr:col>
      <xdr:colOff>0</xdr:colOff>
      <xdr:row>0</xdr:row>
      <xdr:rowOff>95250</xdr:rowOff>
    </xdr:from>
    <xdr:to>
      <xdr:col>11</xdr:col>
      <xdr:colOff>63211</xdr:colOff>
      <xdr:row>13</xdr:row>
      <xdr:rowOff>114300</xdr:rowOff>
    </xdr:to>
    <xdr:pic>
      <xdr:nvPicPr>
        <xdr:cNvPr id="6" name="Google Shape;352;p7" descr="Homem sorrindo pousando para foto&#10;&#10;Descrição gerada automaticamente">
          <a:extLst>
            <a:ext uri="{FF2B5EF4-FFF2-40B4-BE49-F238E27FC236}">
              <a16:creationId xmlns:a16="http://schemas.microsoft.com/office/drawing/2014/main" id="{554FA915-178A-4F0B-B867-8A10DD0AFFCB}"/>
            </a:ext>
          </a:extLst>
        </xdr:cNvPr>
        <xdr:cNvPicPr preferRelativeResize="0"/>
      </xdr:nvPicPr>
      <xdr:blipFill rotWithShape="1">
        <a:blip xmlns:r="http://schemas.openxmlformats.org/officeDocument/2006/relationships" r:embed="rId5">
          <a:alphaModFix/>
        </a:blip>
        <a:srcRect/>
        <a:stretch/>
      </xdr:blipFill>
      <xdr:spPr>
        <a:xfrm>
          <a:off x="4267200" y="95250"/>
          <a:ext cx="2501611" cy="249555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6</xdr:col>
      <xdr:colOff>548408</xdr:colOff>
      <xdr:row>15</xdr:row>
      <xdr:rowOff>86591</xdr:rowOff>
    </xdr:from>
    <xdr:to>
      <xdr:col>11</xdr:col>
      <xdr:colOff>86591</xdr:colOff>
      <xdr:row>18</xdr:row>
      <xdr:rowOff>52111</xdr:rowOff>
    </xdr:to>
    <xdr:sp macro="" textlink="">
      <xdr:nvSpPr>
        <xdr:cNvPr id="7" name="Retângulo: Biselado 8">
          <a:hlinkClick xmlns:r="http://schemas.openxmlformats.org/officeDocument/2006/relationships" r:id="rId6"/>
          <a:extLst>
            <a:ext uri="{FF2B5EF4-FFF2-40B4-BE49-F238E27FC236}">
              <a16:creationId xmlns:a16="http://schemas.microsoft.com/office/drawing/2014/main" id="{CE7499AF-149D-4132-9058-2C01AE1BE6D9}"/>
            </a:ext>
          </a:extLst>
        </xdr:cNvPr>
        <xdr:cNvSpPr/>
      </xdr:nvSpPr>
      <xdr:spPr>
        <a:xfrm>
          <a:off x="4206008" y="2944091"/>
          <a:ext cx="2586183" cy="537020"/>
        </a:xfrm>
        <a:prstGeom prst="bevel">
          <a:avLst/>
        </a:prstGeom>
        <a:solidFill>
          <a:srgbClr val="642E33"/>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bg1"/>
              </a:solidFill>
              <a:latin typeface="+mn-lt"/>
            </a:rPr>
            <a:t>Envie</a:t>
          </a:r>
          <a:r>
            <a:rPr lang="pt-BR" sz="1600" b="1" baseline="0">
              <a:solidFill>
                <a:schemeClr val="bg1"/>
              </a:solidFill>
              <a:latin typeface="+mn-lt"/>
            </a:rPr>
            <a:t> uma mensagem</a:t>
          </a:r>
          <a:endParaRPr lang="pt-BR" sz="1600" b="1">
            <a:solidFill>
              <a:schemeClr val="bg1"/>
            </a:solidFill>
            <a:latin typeface="+mn-lt"/>
          </a:endParaRPr>
        </a:p>
      </xdr:txBody>
    </xdr:sp>
    <xdr:clientData/>
  </xdr:twoCellAnchor>
  <xdr:twoCellAnchor>
    <xdr:from>
      <xdr:col>0</xdr:col>
      <xdr:colOff>580737</xdr:colOff>
      <xdr:row>35</xdr:row>
      <xdr:rowOff>66675</xdr:rowOff>
    </xdr:from>
    <xdr:to>
      <xdr:col>5</xdr:col>
      <xdr:colOff>129887</xdr:colOff>
      <xdr:row>38</xdr:row>
      <xdr:rowOff>29308</xdr:rowOff>
    </xdr:to>
    <xdr:sp macro="" textlink="">
      <xdr:nvSpPr>
        <xdr:cNvPr id="8" name="Retângulo: Biselado 8">
          <a:hlinkClick xmlns:r="http://schemas.openxmlformats.org/officeDocument/2006/relationships" r:id="rId7"/>
          <a:extLst>
            <a:ext uri="{FF2B5EF4-FFF2-40B4-BE49-F238E27FC236}">
              <a16:creationId xmlns:a16="http://schemas.microsoft.com/office/drawing/2014/main" id="{98EFE783-566A-44BD-AFDB-1CE237C22E63}"/>
            </a:ext>
          </a:extLst>
        </xdr:cNvPr>
        <xdr:cNvSpPr/>
      </xdr:nvSpPr>
      <xdr:spPr>
        <a:xfrm>
          <a:off x="580737" y="6743700"/>
          <a:ext cx="2597150" cy="534133"/>
        </a:xfrm>
        <a:prstGeom prst="bevel">
          <a:avLst/>
        </a:prstGeom>
        <a:solidFill>
          <a:srgbClr val="642E33"/>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bg1"/>
              </a:solidFill>
              <a:latin typeface="+mn-lt"/>
            </a:rPr>
            <a:t>Envie</a:t>
          </a:r>
          <a:r>
            <a:rPr lang="pt-BR" sz="1600" b="1" baseline="0">
              <a:solidFill>
                <a:schemeClr val="bg1"/>
              </a:solidFill>
              <a:latin typeface="+mn-lt"/>
            </a:rPr>
            <a:t> uma mensagem</a:t>
          </a:r>
          <a:endParaRPr lang="pt-BR" sz="1600" b="1">
            <a:solidFill>
              <a:schemeClr val="bg1"/>
            </a:solidFill>
            <a:latin typeface="+mn-lt"/>
          </a:endParaRPr>
        </a:p>
      </xdr:txBody>
    </xdr:sp>
    <xdr:clientData/>
  </xdr:twoCellAnchor>
  <xdr:twoCellAnchor>
    <xdr:from>
      <xdr:col>6</xdr:col>
      <xdr:colOff>571211</xdr:colOff>
      <xdr:row>35</xdr:row>
      <xdr:rowOff>66964</xdr:rowOff>
    </xdr:from>
    <xdr:to>
      <xdr:col>11</xdr:col>
      <xdr:colOff>57727</xdr:colOff>
      <xdr:row>38</xdr:row>
      <xdr:rowOff>29597</xdr:rowOff>
    </xdr:to>
    <xdr:sp macro="" textlink="">
      <xdr:nvSpPr>
        <xdr:cNvPr id="9" name="Retângulo: Biselado 8">
          <a:hlinkClick xmlns:r="http://schemas.openxmlformats.org/officeDocument/2006/relationships" r:id="rId8"/>
          <a:extLst>
            <a:ext uri="{FF2B5EF4-FFF2-40B4-BE49-F238E27FC236}">
              <a16:creationId xmlns:a16="http://schemas.microsoft.com/office/drawing/2014/main" id="{456962CA-1B5C-466F-8BCA-A77B8F965FE9}"/>
            </a:ext>
          </a:extLst>
        </xdr:cNvPr>
        <xdr:cNvSpPr/>
      </xdr:nvSpPr>
      <xdr:spPr>
        <a:xfrm>
          <a:off x="4228811" y="6743989"/>
          <a:ext cx="2534516" cy="534133"/>
        </a:xfrm>
        <a:prstGeom prst="bevel">
          <a:avLst/>
        </a:prstGeom>
        <a:solidFill>
          <a:srgbClr val="642E33"/>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bg1"/>
              </a:solidFill>
              <a:latin typeface="+mn-lt"/>
            </a:rPr>
            <a:t>Envie</a:t>
          </a:r>
          <a:r>
            <a:rPr lang="pt-BR" sz="1600" b="1" baseline="0">
              <a:solidFill>
                <a:schemeClr val="bg1"/>
              </a:solidFill>
              <a:latin typeface="+mn-lt"/>
            </a:rPr>
            <a:t> uma mensagem</a:t>
          </a:r>
          <a:endParaRPr lang="pt-BR" sz="1600" b="1">
            <a:solidFill>
              <a:schemeClr val="bg1"/>
            </a:solidFill>
            <a:latin typeface="+mn-l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404532</xdr:colOff>
      <xdr:row>5</xdr:row>
      <xdr:rowOff>108136</xdr:rowOff>
    </xdr:from>
    <xdr:to>
      <xdr:col>3</xdr:col>
      <xdr:colOff>118782</xdr:colOff>
      <xdr:row>8</xdr:row>
      <xdr:rowOff>231961</xdr:rowOff>
    </xdr:to>
    <xdr:sp macro="" textlink="">
      <xdr:nvSpPr>
        <xdr:cNvPr id="2" name="Retângulo: Biselado 8">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404532" y="1999129"/>
          <a:ext cx="1563221" cy="1006288"/>
        </a:xfrm>
        <a:prstGeom prst="bevel">
          <a:avLst/>
        </a:prstGeom>
        <a:solidFill>
          <a:srgbClr val="00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chemeClr val="bg1"/>
              </a:solidFill>
              <a:latin typeface="+mn-lt"/>
            </a:rPr>
            <a:t>Caracterização do sistema</a:t>
          </a:r>
        </a:p>
      </xdr:txBody>
    </xdr:sp>
    <xdr:clientData/>
  </xdr:twoCellAnchor>
  <xdr:twoCellAnchor>
    <xdr:from>
      <xdr:col>3</xdr:col>
      <xdr:colOff>404531</xdr:colOff>
      <xdr:row>5</xdr:row>
      <xdr:rowOff>87272</xdr:rowOff>
    </xdr:from>
    <xdr:to>
      <xdr:col>6</xdr:col>
      <xdr:colOff>118781</xdr:colOff>
      <xdr:row>8</xdr:row>
      <xdr:rowOff>211096</xdr:rowOff>
    </xdr:to>
    <xdr:sp macro="" textlink="">
      <xdr:nvSpPr>
        <xdr:cNvPr id="3" name="Retângulo: Biselado 8">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2253502" y="1978265"/>
          <a:ext cx="1563220" cy="1006287"/>
        </a:xfrm>
        <a:prstGeom prst="bevel">
          <a:avLst/>
        </a:prstGeom>
        <a:solidFill>
          <a:srgbClr val="00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chemeClr val="bg1"/>
              </a:solidFill>
              <a:latin typeface="+mn-lt"/>
            </a:rPr>
            <a:t>Coeficientes zootécnicos</a:t>
          </a:r>
        </a:p>
      </xdr:txBody>
    </xdr:sp>
    <xdr:clientData/>
  </xdr:twoCellAnchor>
  <xdr:twoCellAnchor>
    <xdr:from>
      <xdr:col>0</xdr:col>
      <xdr:colOff>415871</xdr:colOff>
      <xdr:row>9</xdr:row>
      <xdr:rowOff>205200</xdr:rowOff>
    </xdr:from>
    <xdr:to>
      <xdr:col>3</xdr:col>
      <xdr:colOff>130121</xdr:colOff>
      <xdr:row>13</xdr:row>
      <xdr:rowOff>81828</xdr:rowOff>
    </xdr:to>
    <xdr:sp macro="" textlink="">
      <xdr:nvSpPr>
        <xdr:cNvPr id="4" name="Retângulo: Biselado 8">
          <a:hlinkClick xmlns:r="http://schemas.openxmlformats.org/officeDocument/2006/relationships" r:id="rId3"/>
          <a:extLst>
            <a:ext uri="{FF2B5EF4-FFF2-40B4-BE49-F238E27FC236}">
              <a16:creationId xmlns:a16="http://schemas.microsoft.com/office/drawing/2014/main" id="{00000000-0008-0000-0100-000004000000}"/>
            </a:ext>
          </a:extLst>
        </xdr:cNvPr>
        <xdr:cNvSpPr/>
      </xdr:nvSpPr>
      <xdr:spPr>
        <a:xfrm>
          <a:off x="415871" y="3272810"/>
          <a:ext cx="1563221" cy="1053246"/>
        </a:xfrm>
        <a:prstGeom prst="bevel">
          <a:avLst/>
        </a:prstGeom>
        <a:solidFill>
          <a:srgbClr val="00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chemeClr val="bg1"/>
              </a:solidFill>
              <a:latin typeface="+mn-lt"/>
            </a:rPr>
            <a:t>Inventário Físico</a:t>
          </a:r>
        </a:p>
      </xdr:txBody>
    </xdr:sp>
    <xdr:clientData/>
  </xdr:twoCellAnchor>
  <xdr:twoCellAnchor>
    <xdr:from>
      <xdr:col>3</xdr:col>
      <xdr:colOff>404532</xdr:colOff>
      <xdr:row>9</xdr:row>
      <xdr:rowOff>184337</xdr:rowOff>
    </xdr:from>
    <xdr:to>
      <xdr:col>6</xdr:col>
      <xdr:colOff>118782</xdr:colOff>
      <xdr:row>13</xdr:row>
      <xdr:rowOff>117661</xdr:rowOff>
    </xdr:to>
    <xdr:sp macro="" textlink="">
      <xdr:nvSpPr>
        <xdr:cNvPr id="5" name="Retângulo: Biselado 8">
          <a:hlinkClick xmlns:r="http://schemas.openxmlformats.org/officeDocument/2006/relationships" r:id="rId4"/>
          <a:extLst>
            <a:ext uri="{FF2B5EF4-FFF2-40B4-BE49-F238E27FC236}">
              <a16:creationId xmlns:a16="http://schemas.microsoft.com/office/drawing/2014/main" id="{00000000-0008-0000-0100-000005000000}"/>
            </a:ext>
          </a:extLst>
        </xdr:cNvPr>
        <xdr:cNvSpPr/>
      </xdr:nvSpPr>
      <xdr:spPr>
        <a:xfrm>
          <a:off x="2253503" y="3251947"/>
          <a:ext cx="1563220" cy="1109942"/>
        </a:xfrm>
        <a:prstGeom prst="bevel">
          <a:avLst/>
        </a:prstGeom>
        <a:solidFill>
          <a:srgbClr val="00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chemeClr val="bg1"/>
              </a:solidFill>
              <a:latin typeface="+mn-lt"/>
            </a:rPr>
            <a:t>Insumos e serviços</a:t>
          </a:r>
        </a:p>
      </xdr:txBody>
    </xdr:sp>
    <xdr:clientData/>
  </xdr:twoCellAnchor>
  <xdr:twoCellAnchor>
    <xdr:from>
      <xdr:col>0</xdr:col>
      <xdr:colOff>404532</xdr:colOff>
      <xdr:row>13</xdr:row>
      <xdr:rowOff>260536</xdr:rowOff>
    </xdr:from>
    <xdr:to>
      <xdr:col>3</xdr:col>
      <xdr:colOff>118782</xdr:colOff>
      <xdr:row>17</xdr:row>
      <xdr:rowOff>193861</xdr:rowOff>
    </xdr:to>
    <xdr:sp macro="" textlink="">
      <xdr:nvSpPr>
        <xdr:cNvPr id="6" name="Retângulo: Biselado 8">
          <a:hlinkClick xmlns:r="http://schemas.openxmlformats.org/officeDocument/2006/relationships" r:id="rId5"/>
          <a:extLst>
            <a:ext uri="{FF2B5EF4-FFF2-40B4-BE49-F238E27FC236}">
              <a16:creationId xmlns:a16="http://schemas.microsoft.com/office/drawing/2014/main" id="{00000000-0008-0000-0100-000006000000}"/>
            </a:ext>
          </a:extLst>
        </xdr:cNvPr>
        <xdr:cNvSpPr/>
      </xdr:nvSpPr>
      <xdr:spPr>
        <a:xfrm>
          <a:off x="404532" y="4504764"/>
          <a:ext cx="1563221" cy="1109943"/>
        </a:xfrm>
        <a:prstGeom prst="bevel">
          <a:avLst/>
        </a:prstGeom>
        <a:solidFill>
          <a:srgbClr val="00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chemeClr val="bg1"/>
              </a:solidFill>
              <a:latin typeface="+mn-lt"/>
            </a:rPr>
            <a:t>Relatório custos de produção</a:t>
          </a:r>
        </a:p>
      </xdr:txBody>
    </xdr:sp>
    <xdr:clientData/>
  </xdr:twoCellAnchor>
  <xdr:twoCellAnchor>
    <xdr:from>
      <xdr:col>3</xdr:col>
      <xdr:colOff>404532</xdr:colOff>
      <xdr:row>13</xdr:row>
      <xdr:rowOff>251011</xdr:rowOff>
    </xdr:from>
    <xdr:to>
      <xdr:col>6</xdr:col>
      <xdr:colOff>118782</xdr:colOff>
      <xdr:row>17</xdr:row>
      <xdr:rowOff>184336</xdr:rowOff>
    </xdr:to>
    <xdr:sp macro="" textlink="">
      <xdr:nvSpPr>
        <xdr:cNvPr id="7" name="Retângulo: Biselado 8">
          <a:hlinkClick xmlns:r="http://schemas.openxmlformats.org/officeDocument/2006/relationships" r:id="rId6"/>
          <a:extLst>
            <a:ext uri="{FF2B5EF4-FFF2-40B4-BE49-F238E27FC236}">
              <a16:creationId xmlns:a16="http://schemas.microsoft.com/office/drawing/2014/main" id="{00000000-0008-0000-0100-000007000000}"/>
            </a:ext>
          </a:extLst>
        </xdr:cNvPr>
        <xdr:cNvSpPr/>
      </xdr:nvSpPr>
      <xdr:spPr>
        <a:xfrm>
          <a:off x="2253503" y="4495239"/>
          <a:ext cx="1563220" cy="1109943"/>
        </a:xfrm>
        <a:prstGeom prst="bevel">
          <a:avLst/>
        </a:prstGeom>
        <a:solidFill>
          <a:srgbClr val="00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chemeClr val="bg1"/>
              </a:solidFill>
              <a:latin typeface="+mn-lt"/>
            </a:rPr>
            <a:t>Relatório</a:t>
          </a:r>
          <a:r>
            <a:rPr lang="pt-BR" sz="1200" b="1" baseline="0">
              <a:solidFill>
                <a:schemeClr val="bg1"/>
              </a:solidFill>
              <a:latin typeface="+mn-lt"/>
            </a:rPr>
            <a:t> resumido de custos</a:t>
          </a:r>
          <a:endParaRPr lang="pt-BR" sz="1200" b="1">
            <a:solidFill>
              <a:schemeClr val="bg1"/>
            </a:solidFill>
            <a:latin typeface="+mn-lt"/>
          </a:endParaRPr>
        </a:p>
      </xdr:txBody>
    </xdr:sp>
    <xdr:clientData/>
  </xdr:twoCellAnchor>
  <xdr:twoCellAnchor>
    <xdr:from>
      <xdr:col>0</xdr:col>
      <xdr:colOff>404532</xdr:colOff>
      <xdr:row>18</xdr:row>
      <xdr:rowOff>155761</xdr:rowOff>
    </xdr:from>
    <xdr:to>
      <xdr:col>3</xdr:col>
      <xdr:colOff>118782</xdr:colOff>
      <xdr:row>22</xdr:row>
      <xdr:rowOff>89086</xdr:rowOff>
    </xdr:to>
    <xdr:sp macro="" textlink="">
      <xdr:nvSpPr>
        <xdr:cNvPr id="8" name="Retângulo: Biselado 8">
          <a:hlinkClick xmlns:r="http://schemas.openxmlformats.org/officeDocument/2006/relationships" r:id="rId7"/>
          <a:extLst>
            <a:ext uri="{FF2B5EF4-FFF2-40B4-BE49-F238E27FC236}">
              <a16:creationId xmlns:a16="http://schemas.microsoft.com/office/drawing/2014/main" id="{00000000-0008-0000-0100-000008000000}"/>
            </a:ext>
          </a:extLst>
        </xdr:cNvPr>
        <xdr:cNvSpPr/>
      </xdr:nvSpPr>
      <xdr:spPr>
        <a:xfrm>
          <a:off x="404532" y="5870761"/>
          <a:ext cx="1563221" cy="1123950"/>
        </a:xfrm>
        <a:prstGeom prst="bevel">
          <a:avLst/>
        </a:prstGeom>
        <a:solidFill>
          <a:srgbClr val="00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chemeClr val="bg1"/>
              </a:solidFill>
              <a:latin typeface="+mn-lt"/>
            </a:rPr>
            <a:t>Relatório rentabilidade</a:t>
          </a:r>
        </a:p>
      </xdr:txBody>
    </xdr:sp>
    <xdr:clientData/>
  </xdr:twoCellAnchor>
  <xdr:twoCellAnchor>
    <xdr:from>
      <xdr:col>3</xdr:col>
      <xdr:colOff>404532</xdr:colOff>
      <xdr:row>18</xdr:row>
      <xdr:rowOff>146236</xdr:rowOff>
    </xdr:from>
    <xdr:to>
      <xdr:col>6</xdr:col>
      <xdr:colOff>118782</xdr:colOff>
      <xdr:row>22</xdr:row>
      <xdr:rowOff>79561</xdr:rowOff>
    </xdr:to>
    <xdr:sp macro="" textlink="">
      <xdr:nvSpPr>
        <xdr:cNvPr id="9" name="Retângulo: Biselado 8">
          <a:hlinkClick xmlns:r="http://schemas.openxmlformats.org/officeDocument/2006/relationships" r:id="rId8"/>
          <a:extLst>
            <a:ext uri="{FF2B5EF4-FFF2-40B4-BE49-F238E27FC236}">
              <a16:creationId xmlns:a16="http://schemas.microsoft.com/office/drawing/2014/main" id="{00000000-0008-0000-0100-000009000000}"/>
            </a:ext>
          </a:extLst>
        </xdr:cNvPr>
        <xdr:cNvSpPr/>
      </xdr:nvSpPr>
      <xdr:spPr>
        <a:xfrm>
          <a:off x="2253503" y="5861236"/>
          <a:ext cx="1563220" cy="1123950"/>
        </a:xfrm>
        <a:prstGeom prst="bevel">
          <a:avLst/>
        </a:prstGeom>
        <a:solidFill>
          <a:srgbClr val="00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chemeClr val="bg1"/>
              </a:solidFill>
              <a:latin typeface="+mn-lt"/>
            </a:rPr>
            <a:t>Sobre</a:t>
          </a:r>
          <a:r>
            <a:rPr lang="pt-BR" sz="1200" b="1" baseline="0">
              <a:solidFill>
                <a:schemeClr val="bg1"/>
              </a:solidFill>
              <a:latin typeface="+mn-lt"/>
            </a:rPr>
            <a:t> os autores</a:t>
          </a:r>
          <a:endParaRPr lang="pt-BR" sz="1200" b="1">
            <a:solidFill>
              <a:schemeClr val="bg1"/>
            </a:solidFill>
            <a:latin typeface="+mn-lt"/>
          </a:endParaRPr>
        </a:p>
      </xdr:txBody>
    </xdr:sp>
    <xdr:clientData/>
  </xdr:twoCellAnchor>
  <xdr:twoCellAnchor>
    <xdr:from>
      <xdr:col>0</xdr:col>
      <xdr:colOff>414057</xdr:colOff>
      <xdr:row>0</xdr:row>
      <xdr:rowOff>260536</xdr:rowOff>
    </xdr:from>
    <xdr:to>
      <xdr:col>6</xdr:col>
      <xdr:colOff>128307</xdr:colOff>
      <xdr:row>4</xdr:row>
      <xdr:rowOff>193862</xdr:rowOff>
    </xdr:to>
    <xdr:sp macro="" textlink="">
      <xdr:nvSpPr>
        <xdr:cNvPr id="12" name="Retângulo: Biselado 8">
          <a:hlinkClick xmlns:r="http://schemas.openxmlformats.org/officeDocument/2006/relationships" r:id="rId9"/>
          <a:extLst>
            <a:ext uri="{FF2B5EF4-FFF2-40B4-BE49-F238E27FC236}">
              <a16:creationId xmlns:a16="http://schemas.microsoft.com/office/drawing/2014/main" id="{00000000-0008-0000-0100-00000C000000}"/>
            </a:ext>
          </a:extLst>
        </xdr:cNvPr>
        <xdr:cNvSpPr/>
      </xdr:nvSpPr>
      <xdr:spPr>
        <a:xfrm>
          <a:off x="414057" y="260536"/>
          <a:ext cx="3412191" cy="1530164"/>
        </a:xfrm>
        <a:prstGeom prst="bevel">
          <a:avLst/>
        </a:prstGeom>
        <a:solidFill>
          <a:srgbClr val="00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chemeClr val="bg1"/>
              </a:solidFill>
              <a:latin typeface="+mn-lt"/>
            </a:rPr>
            <a:t>Instruções de uso</a:t>
          </a:r>
        </a:p>
      </xdr:txBody>
    </xdr:sp>
    <xdr:clientData/>
  </xdr:twoCellAnchor>
  <xdr:twoCellAnchor>
    <xdr:from>
      <xdr:col>18</xdr:col>
      <xdr:colOff>204641</xdr:colOff>
      <xdr:row>16</xdr:row>
      <xdr:rowOff>245621</xdr:rowOff>
    </xdr:from>
    <xdr:to>
      <xdr:col>21</xdr:col>
      <xdr:colOff>473582</xdr:colOff>
      <xdr:row>20</xdr:row>
      <xdr:rowOff>283720</xdr:rowOff>
    </xdr:to>
    <xdr:sp macro="" textlink="">
      <xdr:nvSpPr>
        <xdr:cNvPr id="11" name="Retângulo: Biselado 8">
          <a:hlinkClick xmlns:r="http://schemas.openxmlformats.org/officeDocument/2006/relationships" r:id="rId1"/>
          <a:extLst>
            <a:ext uri="{FF2B5EF4-FFF2-40B4-BE49-F238E27FC236}">
              <a16:creationId xmlns:a16="http://schemas.microsoft.com/office/drawing/2014/main" id="{00000000-0008-0000-0100-00000B000000}"/>
            </a:ext>
          </a:extLst>
        </xdr:cNvPr>
        <xdr:cNvSpPr/>
      </xdr:nvSpPr>
      <xdr:spPr>
        <a:xfrm>
          <a:off x="15724788" y="5372312"/>
          <a:ext cx="2117912" cy="1214717"/>
        </a:xfrm>
        <a:prstGeom prst="bevel">
          <a:avLst/>
        </a:prstGeom>
        <a:solidFill>
          <a:srgbClr val="00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chemeClr val="bg1"/>
              </a:solidFill>
              <a:latin typeface="+mn-lt"/>
            </a:rPr>
            <a:t>Próxima página</a:t>
          </a:r>
        </a:p>
      </xdr:txBody>
    </xdr:sp>
    <xdr:clientData/>
  </xdr:twoCellAnchor>
  <xdr:twoCellAnchor editAs="oneCell">
    <xdr:from>
      <xdr:col>17</xdr:col>
      <xdr:colOff>1751061</xdr:colOff>
      <xdr:row>11</xdr:row>
      <xdr:rowOff>17323</xdr:rowOff>
    </xdr:from>
    <xdr:to>
      <xdr:col>21</xdr:col>
      <xdr:colOff>318753</xdr:colOff>
      <xdr:row>16</xdr:row>
      <xdr:rowOff>182097</xdr:rowOff>
    </xdr:to>
    <xdr:pic>
      <xdr:nvPicPr>
        <xdr:cNvPr id="13" name="Imagem 12">
          <a:extLst>
            <a:ext uri="{FF2B5EF4-FFF2-40B4-BE49-F238E27FC236}">
              <a16:creationId xmlns:a16="http://schemas.microsoft.com/office/drawing/2014/main" id="{7F6D4129-D64B-424E-BF4A-405035B155EF}"/>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5436245" y="3673242"/>
          <a:ext cx="2251626" cy="163554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15</xdr:col>
      <xdr:colOff>138166</xdr:colOff>
      <xdr:row>61</xdr:row>
      <xdr:rowOff>8348</xdr:rowOff>
    </xdr:from>
    <xdr:to>
      <xdr:col>18</xdr:col>
      <xdr:colOff>328666</xdr:colOff>
      <xdr:row>68</xdr:row>
      <xdr:rowOff>284572</xdr:rowOff>
    </xdr:to>
    <xdr:sp macro="" textlink="">
      <xdr:nvSpPr>
        <xdr:cNvPr id="2" name="Retângulo: Biselado 8">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11407632" y="19143966"/>
          <a:ext cx="2020585" cy="1774539"/>
        </a:xfrm>
        <a:prstGeom prst="bevel">
          <a:avLst/>
        </a:prstGeom>
        <a:solidFill>
          <a:srgbClr val="00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chemeClr val="bg1"/>
              </a:solidFill>
              <a:latin typeface="+mn-lt"/>
            </a:rPr>
            <a:t>Próxima página</a:t>
          </a:r>
        </a:p>
      </xdr:txBody>
    </xdr:sp>
    <xdr:clientData/>
  </xdr:twoCellAnchor>
  <xdr:twoCellAnchor>
    <xdr:from>
      <xdr:col>15</xdr:col>
      <xdr:colOff>133350</xdr:colOff>
      <xdr:row>5</xdr:row>
      <xdr:rowOff>50798</xdr:rowOff>
    </xdr:from>
    <xdr:to>
      <xdr:col>17</xdr:col>
      <xdr:colOff>471949</xdr:colOff>
      <xdr:row>8</xdr:row>
      <xdr:rowOff>266699</xdr:rowOff>
    </xdr:to>
    <xdr:sp macro="" textlink="">
      <xdr:nvSpPr>
        <xdr:cNvPr id="5" name="Retângulo: Biselado 8">
          <a:hlinkClick xmlns:r="http://schemas.openxmlformats.org/officeDocument/2006/relationships" r:id="rId2"/>
          <a:extLst>
            <a:ext uri="{FF2B5EF4-FFF2-40B4-BE49-F238E27FC236}">
              <a16:creationId xmlns:a16="http://schemas.microsoft.com/office/drawing/2014/main" id="{C1F9F3BD-3D34-48EB-930B-41D7F9E92A37}"/>
            </a:ext>
          </a:extLst>
        </xdr:cNvPr>
        <xdr:cNvSpPr/>
      </xdr:nvSpPr>
      <xdr:spPr>
        <a:xfrm>
          <a:off x="11017250" y="1828798"/>
          <a:ext cx="1557799" cy="1092201"/>
        </a:xfrm>
        <a:prstGeom prst="bevel">
          <a:avLst/>
        </a:prstGeom>
        <a:solidFill>
          <a:srgbClr val="00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chemeClr val="bg1"/>
              </a:solidFill>
              <a:latin typeface="+mn-lt"/>
            </a:rPr>
            <a:t>Voltar</a:t>
          </a:r>
          <a:r>
            <a:rPr lang="pt-BR" sz="1200" b="1" baseline="0">
              <a:solidFill>
                <a:schemeClr val="bg1"/>
              </a:solidFill>
              <a:latin typeface="+mn-lt"/>
            </a:rPr>
            <a:t> para "Dados da propriedade"</a:t>
          </a:r>
          <a:endParaRPr lang="pt-BR" sz="1200" b="1">
            <a:solidFill>
              <a:schemeClr val="bg1"/>
            </a:solidFill>
            <a:latin typeface="+mn-lt"/>
          </a:endParaRPr>
        </a:p>
      </xdr:txBody>
    </xdr:sp>
    <xdr:clientData/>
  </xdr:twoCellAnchor>
  <xdr:twoCellAnchor>
    <xdr:from>
      <xdr:col>15</xdr:col>
      <xdr:colOff>133350</xdr:colOff>
      <xdr:row>0</xdr:row>
      <xdr:rowOff>295275</xdr:rowOff>
    </xdr:from>
    <xdr:to>
      <xdr:col>17</xdr:col>
      <xdr:colOff>466724</xdr:colOff>
      <xdr:row>4</xdr:row>
      <xdr:rowOff>180975</xdr:rowOff>
    </xdr:to>
    <xdr:sp macro="" textlink="">
      <xdr:nvSpPr>
        <xdr:cNvPr id="6" name="Retângulo: Biselado 8">
          <a:hlinkClick xmlns:r="http://schemas.openxmlformats.org/officeDocument/2006/relationships" r:id="rId3"/>
          <a:extLst>
            <a:ext uri="{FF2B5EF4-FFF2-40B4-BE49-F238E27FC236}">
              <a16:creationId xmlns:a16="http://schemas.microsoft.com/office/drawing/2014/main" id="{88690129-555A-406E-A544-F6DFC30AF710}"/>
            </a:ext>
          </a:extLst>
        </xdr:cNvPr>
        <xdr:cNvSpPr/>
      </xdr:nvSpPr>
      <xdr:spPr>
        <a:xfrm>
          <a:off x="11017250" y="295275"/>
          <a:ext cx="1552574" cy="1371600"/>
        </a:xfrm>
        <a:prstGeom prst="bevel">
          <a:avLst/>
        </a:prstGeom>
        <a:solidFill>
          <a:srgbClr val="00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chemeClr val="bg1"/>
              </a:solidFill>
              <a:latin typeface="+mn-lt"/>
            </a:rPr>
            <a:t>Instruções de uso</a:t>
          </a:r>
        </a:p>
      </xdr:txBody>
    </xdr:sp>
    <xdr:clientData/>
  </xdr:twoCellAnchor>
  <xdr:twoCellAnchor editAs="oneCell">
    <xdr:from>
      <xdr:col>15</xdr:col>
      <xdr:colOff>370807</xdr:colOff>
      <xdr:row>54</xdr:row>
      <xdr:rowOff>842453</xdr:rowOff>
    </xdr:from>
    <xdr:to>
      <xdr:col>17</xdr:col>
      <xdr:colOff>583530</xdr:colOff>
      <xdr:row>60</xdr:row>
      <xdr:rowOff>136887</xdr:rowOff>
    </xdr:to>
    <xdr:pic>
      <xdr:nvPicPr>
        <xdr:cNvPr id="9" name="Imagem 8">
          <a:extLst>
            <a:ext uri="{FF2B5EF4-FFF2-40B4-BE49-F238E27FC236}">
              <a16:creationId xmlns:a16="http://schemas.microsoft.com/office/drawing/2014/main" id="{D3BAB922-4E29-416D-A648-284809DCC1F5}"/>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724443" y="19300748"/>
          <a:ext cx="2796019" cy="20364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18</xdr:col>
      <xdr:colOff>476250</xdr:colOff>
      <xdr:row>1</xdr:row>
      <xdr:rowOff>133350</xdr:rowOff>
    </xdr:from>
    <xdr:to>
      <xdr:col>21</xdr:col>
      <xdr:colOff>285750</xdr:colOff>
      <xdr:row>3</xdr:row>
      <xdr:rowOff>0</xdr:rowOff>
    </xdr:to>
    <xdr:sp macro="" textlink="">
      <xdr:nvSpPr>
        <xdr:cNvPr id="3" name="Retângulo: Biselado 8">
          <a:hlinkClick xmlns:r="http://schemas.openxmlformats.org/officeDocument/2006/relationships" r:id="rId1"/>
          <a:extLst>
            <a:ext uri="{FF2B5EF4-FFF2-40B4-BE49-F238E27FC236}">
              <a16:creationId xmlns:a16="http://schemas.microsoft.com/office/drawing/2014/main" id="{8C2032BF-86E9-4210-9CEC-D0265D73221C}"/>
            </a:ext>
          </a:extLst>
        </xdr:cNvPr>
        <xdr:cNvSpPr/>
      </xdr:nvSpPr>
      <xdr:spPr>
        <a:xfrm>
          <a:off x="21145500" y="438150"/>
          <a:ext cx="1638300" cy="647700"/>
        </a:xfrm>
        <a:prstGeom prst="bevel">
          <a:avLst/>
        </a:prstGeom>
        <a:solidFill>
          <a:srgbClr val="00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chemeClr val="bg1"/>
              </a:solidFill>
              <a:latin typeface="+mn-lt"/>
            </a:rPr>
            <a:t>Voltar para a aba "Inventário"</a:t>
          </a:r>
        </a:p>
      </xdr:txBody>
    </xdr:sp>
    <xdr:clientData/>
  </xdr:twoCellAnchor>
  <xdr:twoCellAnchor>
    <xdr:from>
      <xdr:col>5</xdr:col>
      <xdr:colOff>330200</xdr:colOff>
      <xdr:row>93</xdr:row>
      <xdr:rowOff>252555</xdr:rowOff>
    </xdr:from>
    <xdr:to>
      <xdr:col>7</xdr:col>
      <xdr:colOff>4264601</xdr:colOff>
      <xdr:row>97</xdr:row>
      <xdr:rowOff>12122</xdr:rowOff>
    </xdr:to>
    <xdr:sp macro="" textlink="">
      <xdr:nvSpPr>
        <xdr:cNvPr id="5" name="Retângulo: Biselado 8">
          <a:hlinkClick xmlns:r="http://schemas.openxmlformats.org/officeDocument/2006/relationships" r:id="rId1"/>
          <a:extLst>
            <a:ext uri="{FF2B5EF4-FFF2-40B4-BE49-F238E27FC236}">
              <a16:creationId xmlns:a16="http://schemas.microsoft.com/office/drawing/2014/main" id="{43F37537-C5FD-4D7A-9CD5-5BE66DB071B2}"/>
            </a:ext>
          </a:extLst>
        </xdr:cNvPr>
        <xdr:cNvSpPr/>
      </xdr:nvSpPr>
      <xdr:spPr>
        <a:xfrm>
          <a:off x="13708495" y="39759657"/>
          <a:ext cx="5276561" cy="1339851"/>
        </a:xfrm>
        <a:prstGeom prst="bevel">
          <a:avLst/>
        </a:prstGeom>
        <a:solidFill>
          <a:srgbClr val="00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2000" b="1">
              <a:solidFill>
                <a:schemeClr val="bg1"/>
              </a:solidFill>
              <a:latin typeface="+mn-lt"/>
            </a:rPr>
            <a:t>Próxima página</a:t>
          </a:r>
        </a:p>
      </xdr:txBody>
    </xdr:sp>
    <xdr:clientData/>
  </xdr:twoCellAnchor>
  <xdr:twoCellAnchor editAs="oneCell">
    <xdr:from>
      <xdr:col>5</xdr:col>
      <xdr:colOff>64942</xdr:colOff>
      <xdr:row>84</xdr:row>
      <xdr:rowOff>123682</xdr:rowOff>
    </xdr:from>
    <xdr:to>
      <xdr:col>7</xdr:col>
      <xdr:colOff>4032827</xdr:colOff>
      <xdr:row>93</xdr:row>
      <xdr:rowOff>134748</xdr:rowOff>
    </xdr:to>
    <xdr:pic>
      <xdr:nvPicPr>
        <xdr:cNvPr id="7" name="Imagem 6">
          <a:extLst>
            <a:ext uri="{FF2B5EF4-FFF2-40B4-BE49-F238E27FC236}">
              <a16:creationId xmlns:a16="http://schemas.microsoft.com/office/drawing/2014/main" id="{23DE76CB-4495-4D1B-A881-3669AA954BB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3443237" y="35690898"/>
          <a:ext cx="5310045" cy="395095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13</xdr:col>
      <xdr:colOff>374533</xdr:colOff>
      <xdr:row>175</xdr:row>
      <xdr:rowOff>17272</xdr:rowOff>
    </xdr:from>
    <xdr:to>
      <xdr:col>19</xdr:col>
      <xdr:colOff>486694</xdr:colOff>
      <xdr:row>179</xdr:row>
      <xdr:rowOff>20341</xdr:rowOff>
    </xdr:to>
    <xdr:sp macro="" textlink="">
      <xdr:nvSpPr>
        <xdr:cNvPr id="2" name="Retângulo: Biselado 8">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56922954" y="101884640"/>
          <a:ext cx="4974924" cy="2008333"/>
        </a:xfrm>
        <a:prstGeom prst="bevel">
          <a:avLst/>
        </a:prstGeom>
        <a:solidFill>
          <a:srgbClr val="00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4000" b="1">
              <a:solidFill>
                <a:schemeClr val="bg1"/>
              </a:solidFill>
              <a:latin typeface="+mn-lt"/>
            </a:rPr>
            <a:t>Próxima página</a:t>
          </a:r>
        </a:p>
      </xdr:txBody>
    </xdr:sp>
    <xdr:clientData/>
  </xdr:twoCellAnchor>
  <xdr:twoCellAnchor editAs="oneCell">
    <xdr:from>
      <xdr:col>13</xdr:col>
      <xdr:colOff>126399</xdr:colOff>
      <xdr:row>166</xdr:row>
      <xdr:rowOff>238124</xdr:rowOff>
    </xdr:from>
    <xdr:to>
      <xdr:col>19</xdr:col>
      <xdr:colOff>185618</xdr:colOff>
      <xdr:row>173</xdr:row>
      <xdr:rowOff>166105</xdr:rowOff>
    </xdr:to>
    <xdr:pic>
      <xdr:nvPicPr>
        <xdr:cNvPr id="3" name="Imagem 2">
          <a:extLst>
            <a:ext uri="{FF2B5EF4-FFF2-40B4-BE49-F238E27FC236}">
              <a16:creationId xmlns:a16="http://schemas.microsoft.com/office/drawing/2014/main" id="{05824A2D-CF58-4043-8F5A-2CE876F8655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9455462" y="51554062"/>
          <a:ext cx="4980471" cy="3350518"/>
        </a:xfrm>
        <a:prstGeom prst="rect">
          <a:avLst/>
        </a:prstGeom>
      </xdr:spPr>
    </xdr:pic>
    <xdr:clientData/>
  </xdr:twoCellAnchor>
  <xdr:twoCellAnchor>
    <xdr:from>
      <xdr:col>10</xdr:col>
      <xdr:colOff>476250</xdr:colOff>
      <xdr:row>0</xdr:row>
      <xdr:rowOff>0</xdr:rowOff>
    </xdr:from>
    <xdr:to>
      <xdr:col>12</xdr:col>
      <xdr:colOff>2281996</xdr:colOff>
      <xdr:row>0</xdr:row>
      <xdr:rowOff>796636</xdr:rowOff>
    </xdr:to>
    <xdr:sp macro="" textlink="">
      <xdr:nvSpPr>
        <xdr:cNvPr id="4" name="Retângulo: Biselado 8">
          <a:hlinkClick xmlns:r="http://schemas.openxmlformats.org/officeDocument/2006/relationships" r:id="rId1"/>
          <a:extLst>
            <a:ext uri="{FF2B5EF4-FFF2-40B4-BE49-F238E27FC236}">
              <a16:creationId xmlns:a16="http://schemas.microsoft.com/office/drawing/2014/main" id="{68979258-7CF0-47A6-9540-63DCF88BA113}"/>
            </a:ext>
          </a:extLst>
        </xdr:cNvPr>
        <xdr:cNvSpPr/>
      </xdr:nvSpPr>
      <xdr:spPr>
        <a:xfrm>
          <a:off x="22643523" y="0"/>
          <a:ext cx="6706791" cy="796636"/>
        </a:xfrm>
        <a:prstGeom prst="bevel">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3000" b="1">
              <a:solidFill>
                <a:sysClr val="windowText" lastClr="000000"/>
              </a:solidFill>
              <a:latin typeface="+mn-lt"/>
            </a:rPr>
            <a:t>Ir para a aba insumos e serviços</a:t>
          </a:r>
        </a:p>
      </xdr:txBody>
    </xdr:sp>
    <xdr:clientData/>
  </xdr:twoCellAnchor>
  <xdr:twoCellAnchor>
    <xdr:from>
      <xdr:col>13</xdr:col>
      <xdr:colOff>198438</xdr:colOff>
      <xdr:row>1</xdr:row>
      <xdr:rowOff>264990</xdr:rowOff>
    </xdr:from>
    <xdr:to>
      <xdr:col>20</xdr:col>
      <xdr:colOff>-1</xdr:colOff>
      <xdr:row>4</xdr:row>
      <xdr:rowOff>21371</xdr:rowOff>
    </xdr:to>
    <xdr:sp macro="" textlink="">
      <xdr:nvSpPr>
        <xdr:cNvPr id="5" name="Retângulo: Biselado 8">
          <a:hlinkClick xmlns:r="http://schemas.openxmlformats.org/officeDocument/2006/relationships" r:id="rId3"/>
          <a:extLst>
            <a:ext uri="{FF2B5EF4-FFF2-40B4-BE49-F238E27FC236}">
              <a16:creationId xmlns:a16="http://schemas.microsoft.com/office/drawing/2014/main" id="{DD382873-8789-4E85-9D03-A6BDD5D21DF3}"/>
            </a:ext>
          </a:extLst>
        </xdr:cNvPr>
        <xdr:cNvSpPr/>
      </xdr:nvSpPr>
      <xdr:spPr>
        <a:xfrm>
          <a:off x="56746859" y="1167358"/>
          <a:ext cx="5265903" cy="3315724"/>
        </a:xfrm>
        <a:prstGeom prst="bevel">
          <a:avLst/>
        </a:prstGeom>
        <a:solidFill>
          <a:srgbClr val="00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4000" b="1">
              <a:solidFill>
                <a:schemeClr val="bg1"/>
              </a:solidFill>
              <a:latin typeface="+mn-lt"/>
            </a:rPr>
            <a:t>Voltar para "Caracterização do sistema"</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377031</xdr:colOff>
      <xdr:row>0</xdr:row>
      <xdr:rowOff>368528</xdr:rowOff>
    </xdr:from>
    <xdr:to>
      <xdr:col>13</xdr:col>
      <xdr:colOff>434240</xdr:colOff>
      <xdr:row>4</xdr:row>
      <xdr:rowOff>398097</xdr:rowOff>
    </xdr:to>
    <xdr:sp macro="" textlink="">
      <xdr:nvSpPr>
        <xdr:cNvPr id="2" name="Retângulo: Biselado 8">
          <a:hlinkClick xmlns:r="http://schemas.openxmlformats.org/officeDocument/2006/relationships" r:id="rId1"/>
          <a:extLst>
            <a:ext uri="{FF2B5EF4-FFF2-40B4-BE49-F238E27FC236}">
              <a16:creationId xmlns:a16="http://schemas.microsoft.com/office/drawing/2014/main" id="{6355D668-3D63-44AF-A701-21A31234CC5A}"/>
            </a:ext>
          </a:extLst>
        </xdr:cNvPr>
        <xdr:cNvSpPr/>
      </xdr:nvSpPr>
      <xdr:spPr>
        <a:xfrm>
          <a:off x="23792656" y="368528"/>
          <a:ext cx="3152834" cy="1755975"/>
        </a:xfrm>
        <a:prstGeom prst="bevel">
          <a:avLst/>
        </a:prstGeom>
        <a:solidFill>
          <a:srgbClr val="00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2500" b="1">
              <a:solidFill>
                <a:schemeClr val="bg1"/>
              </a:solidFill>
              <a:latin typeface="+mn-lt"/>
            </a:rPr>
            <a:t>Voltar</a:t>
          </a:r>
          <a:r>
            <a:rPr lang="pt-BR" sz="2500" b="1" baseline="0">
              <a:solidFill>
                <a:schemeClr val="bg1"/>
              </a:solidFill>
              <a:latin typeface="+mn-lt"/>
            </a:rPr>
            <a:t> para "Indicadores zootécnicos"</a:t>
          </a:r>
          <a:endParaRPr lang="pt-BR" sz="2500" b="1">
            <a:solidFill>
              <a:schemeClr val="bg1"/>
            </a:solidFill>
            <a:latin typeface="+mn-lt"/>
          </a:endParaRPr>
        </a:p>
      </xdr:txBody>
    </xdr:sp>
    <xdr:clientData/>
  </xdr:twoCellAnchor>
  <xdr:twoCellAnchor>
    <xdr:from>
      <xdr:col>6</xdr:col>
      <xdr:colOff>2639013</xdr:colOff>
      <xdr:row>380</xdr:row>
      <xdr:rowOff>4998</xdr:rowOff>
    </xdr:from>
    <xdr:to>
      <xdr:col>10</xdr:col>
      <xdr:colOff>59840</xdr:colOff>
      <xdr:row>385</xdr:row>
      <xdr:rowOff>271471</xdr:rowOff>
    </xdr:to>
    <xdr:sp macro="" textlink="">
      <xdr:nvSpPr>
        <xdr:cNvPr id="3" name="Retângulo: Biselado 8">
          <a:hlinkClick xmlns:r="http://schemas.openxmlformats.org/officeDocument/2006/relationships" r:id="rId2"/>
          <a:extLst>
            <a:ext uri="{FF2B5EF4-FFF2-40B4-BE49-F238E27FC236}">
              <a16:creationId xmlns:a16="http://schemas.microsoft.com/office/drawing/2014/main" id="{183FEBFB-8A6A-416E-BB90-D170A454F2E8}"/>
            </a:ext>
          </a:extLst>
        </xdr:cNvPr>
        <xdr:cNvSpPr/>
      </xdr:nvSpPr>
      <xdr:spPr>
        <a:xfrm>
          <a:off x="16529638" y="177269217"/>
          <a:ext cx="6945827" cy="2250848"/>
        </a:xfrm>
        <a:prstGeom prst="bevel">
          <a:avLst/>
        </a:prstGeom>
        <a:solidFill>
          <a:srgbClr val="00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2500" b="1">
              <a:solidFill>
                <a:schemeClr val="bg1"/>
              </a:solidFill>
              <a:latin typeface="+mn-lt"/>
            </a:rPr>
            <a:t>VISUALIZAR CUSTO DE</a:t>
          </a:r>
          <a:r>
            <a:rPr lang="pt-BR" sz="2500" b="1" baseline="0">
              <a:solidFill>
                <a:schemeClr val="bg1"/>
              </a:solidFill>
              <a:latin typeface="+mn-lt"/>
            </a:rPr>
            <a:t> PRODUÇÃO </a:t>
          </a:r>
          <a:r>
            <a:rPr lang="pt-BR" sz="2500" b="1">
              <a:solidFill>
                <a:schemeClr val="bg1"/>
              </a:solidFill>
              <a:latin typeface="+mn-lt"/>
            </a:rPr>
            <a:t>DETALHADO DA GRANJA</a:t>
          </a:r>
        </a:p>
      </xdr:txBody>
    </xdr:sp>
    <xdr:clientData/>
  </xdr:twoCellAnchor>
  <xdr:twoCellAnchor editAs="oneCell">
    <xdr:from>
      <xdr:col>8</xdr:col>
      <xdr:colOff>4779</xdr:colOff>
      <xdr:row>370</xdr:row>
      <xdr:rowOff>102053</xdr:rowOff>
    </xdr:from>
    <xdr:to>
      <xdr:col>9</xdr:col>
      <xdr:colOff>426171</xdr:colOff>
      <xdr:row>377</xdr:row>
      <xdr:rowOff>318200</xdr:rowOff>
    </xdr:to>
    <xdr:pic>
      <xdr:nvPicPr>
        <xdr:cNvPr id="4" name="Imagem 3">
          <a:extLst>
            <a:ext uri="{FF2B5EF4-FFF2-40B4-BE49-F238E27FC236}">
              <a16:creationId xmlns:a16="http://schemas.microsoft.com/office/drawing/2014/main" id="{409C69A5-B291-4310-ADCE-79B45B7BDD5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4837815" y="179716339"/>
          <a:ext cx="4911749" cy="3481861"/>
        </a:xfrm>
        <a:prstGeom prst="rect">
          <a:avLst/>
        </a:prstGeom>
      </xdr:spPr>
    </xdr:pic>
    <xdr:clientData/>
  </xdr:twoCellAnchor>
  <xdr:twoCellAnchor editAs="oneCell">
    <xdr:from>
      <xdr:col>7</xdr:col>
      <xdr:colOff>4075899</xdr:colOff>
      <xdr:row>339</xdr:row>
      <xdr:rowOff>238125</xdr:rowOff>
    </xdr:from>
    <xdr:to>
      <xdr:col>9</xdr:col>
      <xdr:colOff>448183</xdr:colOff>
      <xdr:row>344</xdr:row>
      <xdr:rowOff>375871</xdr:rowOff>
    </xdr:to>
    <xdr:pic>
      <xdr:nvPicPr>
        <xdr:cNvPr id="5" name="Imagem 4">
          <a:extLst>
            <a:ext uri="{FF2B5EF4-FFF2-40B4-BE49-F238E27FC236}">
              <a16:creationId xmlns:a16="http://schemas.microsoft.com/office/drawing/2014/main" id="{EA4F184F-56E6-43DD-8234-73CE789ABFA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4656703" y="164850536"/>
          <a:ext cx="5114873" cy="3709621"/>
        </a:xfrm>
        <a:prstGeom prst="rect">
          <a:avLst/>
        </a:prstGeom>
      </xdr:spPr>
    </xdr:pic>
    <xdr:clientData/>
  </xdr:twoCellAnchor>
  <xdr:twoCellAnchor editAs="oneCell">
    <xdr:from>
      <xdr:col>7</xdr:col>
      <xdr:colOff>4150178</xdr:colOff>
      <xdr:row>272</xdr:row>
      <xdr:rowOff>305698</xdr:rowOff>
    </xdr:from>
    <xdr:to>
      <xdr:col>10</xdr:col>
      <xdr:colOff>2618</xdr:colOff>
      <xdr:row>281</xdr:row>
      <xdr:rowOff>323178</xdr:rowOff>
    </xdr:to>
    <xdr:pic>
      <xdr:nvPicPr>
        <xdr:cNvPr id="7" name="Imagem 6">
          <a:extLst>
            <a:ext uri="{FF2B5EF4-FFF2-40B4-BE49-F238E27FC236}">
              <a16:creationId xmlns:a16="http://schemas.microsoft.com/office/drawing/2014/main" id="{D31F9352-2CB2-4AAB-87ED-F33AFB2F0B7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4730982" y="134029894"/>
          <a:ext cx="5207350" cy="3691409"/>
        </a:xfrm>
        <a:prstGeom prst="rect">
          <a:avLst/>
        </a:prstGeom>
      </xdr:spPr>
    </xdr:pic>
    <xdr:clientData/>
  </xdr:twoCellAnchor>
  <xdr:twoCellAnchor editAs="oneCell">
    <xdr:from>
      <xdr:col>7</xdr:col>
      <xdr:colOff>3896712</xdr:colOff>
      <xdr:row>218</xdr:row>
      <xdr:rowOff>82707</xdr:rowOff>
    </xdr:from>
    <xdr:to>
      <xdr:col>10</xdr:col>
      <xdr:colOff>170090</xdr:colOff>
      <xdr:row>226</xdr:row>
      <xdr:rowOff>10171</xdr:rowOff>
    </xdr:to>
    <xdr:pic>
      <xdr:nvPicPr>
        <xdr:cNvPr id="8" name="Imagem 7">
          <a:extLst>
            <a:ext uri="{FF2B5EF4-FFF2-40B4-BE49-F238E27FC236}">
              <a16:creationId xmlns:a16="http://schemas.microsoft.com/office/drawing/2014/main" id="{391471C5-4417-4249-A6D3-5310E30D2B4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4477516" y="106116368"/>
          <a:ext cx="5628288" cy="4009607"/>
        </a:xfrm>
        <a:prstGeom prst="rect">
          <a:avLst/>
        </a:prstGeom>
      </xdr:spPr>
    </xdr:pic>
    <xdr:clientData/>
  </xdr:twoCellAnchor>
  <xdr:twoCellAnchor editAs="oneCell">
    <xdr:from>
      <xdr:col>7</xdr:col>
      <xdr:colOff>3508739</xdr:colOff>
      <xdr:row>151</xdr:row>
      <xdr:rowOff>714375</xdr:rowOff>
    </xdr:from>
    <xdr:to>
      <xdr:col>9</xdr:col>
      <xdr:colOff>550238</xdr:colOff>
      <xdr:row>161</xdr:row>
      <xdr:rowOff>258476</xdr:rowOff>
    </xdr:to>
    <xdr:pic>
      <xdr:nvPicPr>
        <xdr:cNvPr id="9" name="Imagem 8">
          <a:extLst>
            <a:ext uri="{FF2B5EF4-FFF2-40B4-BE49-F238E27FC236}">
              <a16:creationId xmlns:a16="http://schemas.microsoft.com/office/drawing/2014/main" id="{0123314D-4EF5-4548-8F4B-0D9B9511C84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4089543" y="75519643"/>
          <a:ext cx="5784088" cy="4034458"/>
        </a:xfrm>
        <a:prstGeom prst="rect">
          <a:avLst/>
        </a:prstGeom>
      </xdr:spPr>
    </xdr:pic>
    <xdr:clientData/>
  </xdr:twoCellAnchor>
  <xdr:twoCellAnchor editAs="oneCell">
    <xdr:from>
      <xdr:col>7</xdr:col>
      <xdr:colOff>3964028</xdr:colOff>
      <xdr:row>42</xdr:row>
      <xdr:rowOff>374196</xdr:rowOff>
    </xdr:from>
    <xdr:to>
      <xdr:col>9</xdr:col>
      <xdr:colOff>327454</xdr:colOff>
      <xdr:row>50</xdr:row>
      <xdr:rowOff>319841</xdr:rowOff>
    </xdr:to>
    <xdr:pic>
      <xdr:nvPicPr>
        <xdr:cNvPr id="10" name="Imagem 9">
          <a:extLst>
            <a:ext uri="{FF2B5EF4-FFF2-40B4-BE49-F238E27FC236}">
              <a16:creationId xmlns:a16="http://schemas.microsoft.com/office/drawing/2014/main" id="{C4518825-7CAC-4D82-908C-501D0B542A6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4544832" y="23030089"/>
          <a:ext cx="5106015" cy="361957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17</xdr:col>
      <xdr:colOff>116957</xdr:colOff>
      <xdr:row>0</xdr:row>
      <xdr:rowOff>1</xdr:rowOff>
    </xdr:from>
    <xdr:to>
      <xdr:col>22</xdr:col>
      <xdr:colOff>346333</xdr:colOff>
      <xdr:row>1</xdr:row>
      <xdr:rowOff>1</xdr:rowOff>
    </xdr:to>
    <xdr:sp macro="" textlink="">
      <xdr:nvSpPr>
        <xdr:cNvPr id="2" name="Retângulo: Biselado 8">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17292683" y="1"/>
          <a:ext cx="3301956" cy="491613"/>
        </a:xfrm>
        <a:prstGeom prst="bevel">
          <a:avLst/>
        </a:prstGeom>
        <a:solidFill>
          <a:srgbClr val="00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2500" b="1">
              <a:solidFill>
                <a:schemeClr val="bg1"/>
              </a:solidFill>
              <a:latin typeface="+mn-lt"/>
            </a:rPr>
            <a:t>Próximo</a:t>
          </a:r>
          <a:r>
            <a:rPr lang="pt-BR" sz="2500" b="1" baseline="0">
              <a:solidFill>
                <a:schemeClr val="bg1"/>
              </a:solidFill>
              <a:latin typeface="+mn-lt"/>
            </a:rPr>
            <a:t> relatório</a:t>
          </a:r>
          <a:endParaRPr lang="pt-BR" sz="2500" b="1">
            <a:solidFill>
              <a:schemeClr val="bg1"/>
            </a:solidFill>
            <a:latin typeface="+mn-lt"/>
          </a:endParaRPr>
        </a:p>
      </xdr:txBody>
    </xdr:sp>
    <xdr:clientData/>
  </xdr:twoCellAnchor>
  <xdr:twoCellAnchor editAs="oneCell">
    <xdr:from>
      <xdr:col>16</xdr:col>
      <xdr:colOff>2024423</xdr:colOff>
      <xdr:row>707</xdr:row>
      <xdr:rowOff>280780</xdr:rowOff>
    </xdr:from>
    <xdr:to>
      <xdr:col>18</xdr:col>
      <xdr:colOff>1142203</xdr:colOff>
      <xdr:row>713</xdr:row>
      <xdr:rowOff>161920</xdr:rowOff>
    </xdr:to>
    <xdr:pic>
      <xdr:nvPicPr>
        <xdr:cNvPr id="3" name="Imagem 2">
          <a:extLst>
            <a:ext uri="{FF2B5EF4-FFF2-40B4-BE49-F238E27FC236}">
              <a16:creationId xmlns:a16="http://schemas.microsoft.com/office/drawing/2014/main" id="{2E9E71E1-1F73-4976-B4F8-64830033833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842106" y="289631695"/>
          <a:ext cx="4879243" cy="355174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22</xdr:col>
      <xdr:colOff>355996</xdr:colOff>
      <xdr:row>23</xdr:row>
      <xdr:rowOff>270314</xdr:rowOff>
    </xdr:from>
    <xdr:to>
      <xdr:col>29</xdr:col>
      <xdr:colOff>24423</xdr:colOff>
      <xdr:row>28</xdr:row>
      <xdr:rowOff>15337</xdr:rowOff>
    </xdr:to>
    <xdr:sp macro="" textlink="">
      <xdr:nvSpPr>
        <xdr:cNvPr id="2" name="Retângulo: Biselado 8">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18526765" y="10161660"/>
          <a:ext cx="3942466" cy="1210408"/>
        </a:xfrm>
        <a:prstGeom prst="bevel">
          <a:avLst/>
        </a:prstGeom>
        <a:solidFill>
          <a:srgbClr val="00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3000" b="1">
              <a:solidFill>
                <a:schemeClr val="bg1"/>
              </a:solidFill>
              <a:latin typeface="+mn-lt"/>
            </a:rPr>
            <a:t>Próximo</a:t>
          </a:r>
          <a:r>
            <a:rPr lang="pt-BR" sz="3000" b="1" baseline="0">
              <a:solidFill>
                <a:schemeClr val="bg1"/>
              </a:solidFill>
              <a:latin typeface="+mn-lt"/>
            </a:rPr>
            <a:t> relatório</a:t>
          </a:r>
          <a:endParaRPr lang="pt-BR" sz="3000" b="1">
            <a:solidFill>
              <a:schemeClr val="bg1"/>
            </a:solidFill>
            <a:latin typeface="+mn-lt"/>
          </a:endParaRPr>
        </a:p>
      </xdr:txBody>
    </xdr:sp>
    <xdr:clientData/>
  </xdr:twoCellAnchor>
  <xdr:twoCellAnchor>
    <xdr:from>
      <xdr:col>11</xdr:col>
      <xdr:colOff>141338</xdr:colOff>
      <xdr:row>2</xdr:row>
      <xdr:rowOff>0</xdr:rowOff>
    </xdr:from>
    <xdr:to>
      <xdr:col>28</xdr:col>
      <xdr:colOff>195386</xdr:colOff>
      <xdr:row>22</xdr:row>
      <xdr:rowOff>58615</xdr:rowOff>
    </xdr:to>
    <xdr:graphicFrame macro="">
      <xdr:nvGraphicFramePr>
        <xdr:cNvPr id="11" name="Gráfico 10">
          <a:extLst>
            <a:ext uri="{FF2B5EF4-FFF2-40B4-BE49-F238E27FC236}">
              <a16:creationId xmlns:a16="http://schemas.microsoft.com/office/drawing/2014/main" id="{D8A4B6F2-23D7-4CAD-BC8B-B223A1475C6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22</xdr:col>
      <xdr:colOff>170961</xdr:colOff>
      <xdr:row>15</xdr:row>
      <xdr:rowOff>18513</xdr:rowOff>
    </xdr:from>
    <xdr:to>
      <xdr:col>28</xdr:col>
      <xdr:colOff>375453</xdr:colOff>
      <xdr:row>21</xdr:row>
      <xdr:rowOff>265447</xdr:rowOff>
    </xdr:to>
    <xdr:pic>
      <xdr:nvPicPr>
        <xdr:cNvPr id="4" name="Imagem 3">
          <a:extLst>
            <a:ext uri="{FF2B5EF4-FFF2-40B4-BE49-F238E27FC236}">
              <a16:creationId xmlns:a16="http://schemas.microsoft.com/office/drawing/2014/main" id="{D130D6BE-E11D-49F2-88C1-46622EC2893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8341730" y="6905821"/>
          <a:ext cx="3867953" cy="261597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7</xdr:col>
      <xdr:colOff>1418</xdr:colOff>
      <xdr:row>9</xdr:row>
      <xdr:rowOff>357189</xdr:rowOff>
    </xdr:from>
    <xdr:to>
      <xdr:col>11</xdr:col>
      <xdr:colOff>26932</xdr:colOff>
      <xdr:row>33</xdr:row>
      <xdr:rowOff>59532</xdr:rowOff>
    </xdr:to>
    <xdr:graphicFrame macro="">
      <xdr:nvGraphicFramePr>
        <xdr:cNvPr id="7" name="Gráfico 6">
          <a:extLst>
            <a:ext uri="{FF2B5EF4-FFF2-40B4-BE49-F238E27FC236}">
              <a16:creationId xmlns:a16="http://schemas.microsoft.com/office/drawing/2014/main" id="{12AAA4B7-BFF6-4961-AC2D-59C2F4753B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Laya Kannan Silva Alves" id="{16BE75EC-F9C4-439B-92C5-1C0E364C2CA5}" userId="2a20ff41cf711297" providerId="Windows Live"/>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82F5622-2B1A-4905-ABBD-A40FDCA0F7FC}" name="Tabela2" displayName="Tabela2" ref="C6:D34" totalsRowShown="0" headerRowDxfId="41" dataDxfId="40" tableBorderDxfId="39">
  <autoFilter ref="C6:D34" xr:uid="{F111EF27-00A5-4E13-9E99-88A678BFCCC3}"/>
  <tableColumns count="2">
    <tableColumn id="1" xr3:uid="{A61C0739-93DD-439A-9250-AFC16FA719B3}" name="Índices " dataDxfId="38"/>
    <tableColumn id="2" xr3:uid="{E146C8CC-5503-4CDE-8955-64DC287C2CD8}" name="Valor real da granja " dataDxfId="37"/>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F573888-7707-43E0-89C9-439323D59A5B}" name="Tabela4" displayName="Tabela4" ref="C38:D54" totalsRowShown="0" headerRowDxfId="36" dataDxfId="34" headerRowBorderDxfId="35" tableBorderDxfId="33">
  <autoFilter ref="C38:D54" xr:uid="{31B70D43-AAFB-4307-BCC0-4C9530880F37}"/>
  <tableColumns count="2">
    <tableColumn id="1" xr3:uid="{31F5D49F-2FB4-4B8A-A2BC-2AA4BDDF6F37}" name="Índices " dataDxfId="32"/>
    <tableColumn id="2" xr3:uid="{5F43DBC6-94B7-4028-8AC6-C7FF4D00FAD3}" name="Valor real da granja " dataDxfId="31"/>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420D0329-48BE-400B-B3BC-4818DCA1E422}" name="Tabela8" displayName="Tabela8" ref="C58:D80" totalsRowShown="0" headerRowDxfId="30" dataDxfId="29" tableBorderDxfId="28">
  <autoFilter ref="C58:D80" xr:uid="{FD14E39F-C670-40ED-9317-49FAE93AB375}"/>
  <tableColumns count="2">
    <tableColumn id="1" xr3:uid="{9523B77B-9C80-4D47-AB50-55F9086DD2F2}" name="Índices " dataDxfId="27"/>
    <tableColumn id="2" xr3:uid="{87F476DB-20CA-41C7-8FE5-54EA80279A25}" name="Valor real da granja " dataDxfId="26"/>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80ECA89F-68C6-4A38-85D5-57926CC82373}" name="Tabela9" displayName="Tabela9" ref="C84:D87" totalsRowShown="0" headerRowDxfId="25" dataDxfId="24" tableBorderDxfId="23">
  <autoFilter ref="C84:D87" xr:uid="{03ED6FCC-4EA1-40B3-A24D-C4CF3776C6CE}"/>
  <tableColumns count="2">
    <tableColumn id="1" xr3:uid="{C1A2ADE1-EACF-4150-BA06-8B96EAC1F0A1}" name="Índices " dataDxfId="22"/>
    <tableColumn id="2" xr3:uid="{F5D2D07E-7BF2-4241-AF89-F560CD768941}" name="Valor real da granja " dataDxfId="21"/>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7F4A2A2B-3D18-49CC-879E-76A886170D7E}" name="Tabela10" displayName="Tabela10" ref="C91:D96" totalsRowShown="0" headerRowDxfId="20" dataDxfId="19" tableBorderDxfId="18">
  <autoFilter ref="C91:D96" xr:uid="{47676013-DA91-4BA3-BC2F-6A9517CF9439}"/>
  <tableColumns count="2">
    <tableColumn id="1" xr3:uid="{E10EEC93-AC61-40C3-A25C-C01FC21F2061}" name="Índices " dataDxfId="17"/>
    <tableColumn id="2" xr3:uid="{DBE93518-CD43-4E81-B056-EF581C6E9EE0}" name="Valor real da granja " dataDxfId="16" dataCellStyle="Porcentagem"/>
  </tableColumns>
  <tableStyleInfo name="TableStyleLight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7236AC27-6992-40E3-8EC6-F5874A71ACAE}" name="Tabela11" displayName="Tabela11" ref="B4:M21" totalsRowShown="0" headerRowDxfId="15" dataDxfId="13" headerRowBorderDxfId="14" tableBorderDxfId="12" headerRowCellStyle="Moeda" dataCellStyle="Moeda">
  <autoFilter ref="B4:M21" xr:uid="{ECA2834C-A51A-4A9C-97F2-7FB24E01F2EA}"/>
  <tableColumns count="12">
    <tableColumn id="1" xr3:uid="{61D2660E-545E-49F6-9B96-84BCC7C62EE3}" name="Item " dataDxfId="11"/>
    <tableColumn id="2" xr3:uid="{22CE9C09-8FE1-4A27-99B0-E54AFB1D380E}" name="Unidade " dataDxfId="10"/>
    <tableColumn id="3" xr3:uid="{3C46F4FA-8628-49B1-B1AF-F4E2FCB75ECC}" name="Metragem unitária" dataDxfId="9"/>
    <tableColumn id="4" xr3:uid="{4EDE5341-C122-4F43-BEFD-0BFE4558C17A}" name="Quantidade de galpões ou instalações" dataDxfId="8"/>
    <tableColumn id="5" xr3:uid="{06C30E01-625B-4310-A279-8578F68EAF8D}" name="Preço unitário (R$/m²)" dataDxfId="7" dataCellStyle="Moeda"/>
    <tableColumn id="6" xr3:uid="{D99070EA-1F6A-49BB-94DB-B6E059738CC3}" name="Valor total (R$)" dataDxfId="6" dataCellStyle="Moeda">
      <calculatedColumnFormula>F5*E5*D5</calculatedColumnFormula>
    </tableColumn>
    <tableColumn id="7" xr3:uid="{C9680FD3-CA1D-47B5-BECD-635B954ABAB0}" name="Vida Útil (anos)" dataDxfId="5"/>
    <tableColumn id="8" xr3:uid="{AA6B1582-3915-42A2-9D75-048C7CB1E3CC}" name="Valor Residual (%)" dataDxfId="4" dataCellStyle="Porcentagem"/>
    <tableColumn id="9" xr3:uid="{B8605BDF-59B0-4918-8F03-B9E02A0473EB}" name="Valor residual (R$)" dataDxfId="3" dataCellStyle="Moeda">
      <calculatedColumnFormula>I5*G5</calculatedColumnFormula>
    </tableColumn>
    <tableColumn id="11" xr3:uid="{48163A6F-E734-481B-8AF7-39D8B2903EE8}" name="Depreciação anual" dataDxfId="2" dataCellStyle="Moeda">
      <calculatedColumnFormula>(G5-J5)/H5</calculatedColumnFormula>
    </tableColumn>
    <tableColumn id="12" xr3:uid="{7FACB0A6-A8F6-4728-B88B-4B9677C44F26}" name="Depreciação mensal" dataDxfId="1" dataCellStyle="Moeda">
      <calculatedColumnFormula>K5/12</calculatedColumnFormula>
    </tableColumn>
    <tableColumn id="13" xr3:uid="{3F0D8057-F29E-480D-905E-AAD7A9EAA68E}" name="Depreciação semanal" dataDxfId="0" dataCellStyle="Moeda">
      <calculatedColumnFormula>K5/52.1429</calculatedColumnFormula>
    </tableColumn>
  </tableColumns>
  <tableStyleInfo name="TableStyleLight1" showFirstColumn="0" showLastColumn="0" showRowStripes="1" showColumnStripes="0"/>
</table>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I322" dT="2020-12-23T11:38:21.11" personId="{16BE75EC-F9C4-439B-92C5-1C0E364C2CA5}" id="{48ABA0C2-73D5-4376-9C7F-F872B93438CE}">
    <text>Comentário do Gameiro... "Em mão de obra, parece que está extrapolando o máximo de horas permitido para um trabalhador por semana. Normalmente é 44 horas/semana. Se ele fizer hora extra pode estender um pouco, acho que mais 2 horas/dia letivo. Então não sei se 56 não é muito. Parece-me que sim. Checar."
Usamos esses valores pq já incluímos férias e etc, por isso o valor extrapolado. Mantemos assim ou fazemos alteraçoes?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8" Type="http://schemas.openxmlformats.org/officeDocument/2006/relationships/table" Target="../tables/table5.xml"/><Relationship Id="rId3" Type="http://schemas.openxmlformats.org/officeDocument/2006/relationships/vmlDrawing" Target="../drawings/vmlDrawing2.vml"/><Relationship Id="rId7" Type="http://schemas.openxmlformats.org/officeDocument/2006/relationships/table" Target="../tables/table4.xml"/><Relationship Id="rId2" Type="http://schemas.openxmlformats.org/officeDocument/2006/relationships/drawing" Target="../drawings/drawing4.xml"/><Relationship Id="rId1" Type="http://schemas.openxmlformats.org/officeDocument/2006/relationships/printerSettings" Target="../printerSettings/printerSettings3.bin"/><Relationship Id="rId6" Type="http://schemas.openxmlformats.org/officeDocument/2006/relationships/table" Target="../tables/table3.xml"/><Relationship Id="rId5" Type="http://schemas.openxmlformats.org/officeDocument/2006/relationships/table" Target="../tables/table2.xml"/><Relationship Id="rId4" Type="http://schemas.openxmlformats.org/officeDocument/2006/relationships/table" Target="../tables/table1.xm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4.bin"/><Relationship Id="rId5" Type="http://schemas.openxmlformats.org/officeDocument/2006/relationships/comments" Target="../comments3.xml"/><Relationship Id="rId4" Type="http://schemas.openxmlformats.org/officeDocument/2006/relationships/table" Target="../tables/table6.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5.bin"/><Relationship Id="rId5" Type="http://schemas.microsoft.com/office/2017/10/relationships/threadedComment" Target="../threadedComments/threadedComment1.xml"/><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
    <tabColor rgb="FFECD4D6"/>
  </sheetPr>
  <dimension ref="C3:T152"/>
  <sheetViews>
    <sheetView topLeftCell="A139" zoomScale="77" zoomScaleNormal="77" workbookViewId="0">
      <selection activeCell="C43" sqref="C43:R44"/>
    </sheetView>
  </sheetViews>
  <sheetFormatPr defaultRowHeight="23.25" x14ac:dyDescent="0.25"/>
  <cols>
    <col min="1" max="16384" width="9.140625" style="546"/>
  </cols>
  <sheetData>
    <row r="3" spans="3:18" x14ac:dyDescent="0.25">
      <c r="N3" s="547"/>
    </row>
    <row r="6" spans="3:18" x14ac:dyDescent="0.25">
      <c r="K6" s="547"/>
      <c r="L6" s="547"/>
    </row>
    <row r="7" spans="3:18" x14ac:dyDescent="0.25">
      <c r="I7" s="547"/>
    </row>
    <row r="8" spans="3:18" x14ac:dyDescent="0.25">
      <c r="I8" s="547"/>
    </row>
    <row r="9" spans="3:18" x14ac:dyDescent="0.25">
      <c r="H9" s="547"/>
      <c r="O9" s="547"/>
    </row>
    <row r="11" spans="3:18" ht="24" thickBot="1" x14ac:dyDescent="0.3">
      <c r="N11" s="547"/>
    </row>
    <row r="12" spans="3:18" ht="37.5" customHeight="1" x14ac:dyDescent="0.25">
      <c r="C12" s="751" t="s">
        <v>962</v>
      </c>
      <c r="D12" s="752"/>
      <c r="E12" s="752"/>
      <c r="F12" s="752"/>
      <c r="G12" s="752"/>
      <c r="H12" s="752"/>
      <c r="I12" s="752"/>
      <c r="J12" s="752"/>
      <c r="K12" s="752"/>
      <c r="L12" s="752"/>
      <c r="M12" s="752"/>
      <c r="N12" s="752"/>
      <c r="O12" s="752"/>
      <c r="P12" s="752"/>
      <c r="Q12" s="752"/>
      <c r="R12" s="753"/>
    </row>
    <row r="13" spans="3:18" ht="23.25" customHeight="1" x14ac:dyDescent="0.25">
      <c r="C13" s="754"/>
      <c r="D13" s="755"/>
      <c r="E13" s="755"/>
      <c r="F13" s="755"/>
      <c r="G13" s="755"/>
      <c r="H13" s="755"/>
      <c r="I13" s="755"/>
      <c r="J13" s="755"/>
      <c r="K13" s="755"/>
      <c r="L13" s="755"/>
      <c r="M13" s="755"/>
      <c r="N13" s="755"/>
      <c r="O13" s="755"/>
      <c r="P13" s="755"/>
      <c r="Q13" s="755"/>
      <c r="R13" s="756"/>
    </row>
    <row r="14" spans="3:18" ht="23.25" customHeight="1" thickBot="1" x14ac:dyDescent="0.3">
      <c r="C14" s="757"/>
      <c r="D14" s="758"/>
      <c r="E14" s="758"/>
      <c r="F14" s="758"/>
      <c r="G14" s="758"/>
      <c r="H14" s="758"/>
      <c r="I14" s="758"/>
      <c r="J14" s="758"/>
      <c r="K14" s="758"/>
      <c r="L14" s="758"/>
      <c r="M14" s="758"/>
      <c r="N14" s="758"/>
      <c r="O14" s="758"/>
      <c r="P14" s="758"/>
      <c r="Q14" s="758"/>
      <c r="R14" s="759"/>
    </row>
    <row r="15" spans="3:18" x14ac:dyDescent="0.25">
      <c r="C15" s="548" t="s">
        <v>940</v>
      </c>
      <c r="D15" s="549"/>
      <c r="E15" s="549"/>
      <c r="F15" s="549"/>
      <c r="G15" s="549"/>
      <c r="H15" s="549"/>
      <c r="I15" s="549"/>
      <c r="J15" s="549"/>
      <c r="K15" s="549"/>
      <c r="L15" s="549"/>
      <c r="M15" s="549"/>
      <c r="N15" s="549"/>
      <c r="O15" s="549"/>
      <c r="P15" s="549"/>
      <c r="Q15" s="549"/>
      <c r="R15" s="550"/>
    </row>
    <row r="16" spans="3:18" x14ac:dyDescent="0.25">
      <c r="C16" s="551" t="s">
        <v>941</v>
      </c>
      <c r="D16" s="552"/>
      <c r="E16" s="552"/>
      <c r="F16" s="552"/>
      <c r="G16" s="552"/>
      <c r="H16" s="552"/>
      <c r="I16" s="552"/>
      <c r="J16" s="552"/>
      <c r="K16" s="552"/>
      <c r="L16" s="552"/>
      <c r="M16" s="552"/>
      <c r="N16" s="552"/>
      <c r="O16" s="552"/>
      <c r="P16" s="552"/>
      <c r="Q16" s="552"/>
      <c r="R16" s="553"/>
    </row>
    <row r="17" spans="3:18" x14ac:dyDescent="0.25">
      <c r="C17" s="554" t="s">
        <v>939</v>
      </c>
      <c r="D17" s="552"/>
      <c r="E17" s="552"/>
      <c r="F17" s="552"/>
      <c r="G17" s="552"/>
      <c r="H17" s="552"/>
      <c r="I17" s="552"/>
      <c r="J17" s="552"/>
      <c r="K17" s="552"/>
      <c r="L17" s="552"/>
      <c r="M17" s="552"/>
      <c r="N17" s="552"/>
      <c r="O17" s="552"/>
      <c r="P17" s="552"/>
      <c r="Q17" s="552"/>
      <c r="R17" s="553"/>
    </row>
    <row r="18" spans="3:18" x14ac:dyDescent="0.25">
      <c r="C18" s="551" t="s">
        <v>933</v>
      </c>
      <c r="D18" s="552"/>
      <c r="E18" s="552"/>
      <c r="F18" s="552"/>
      <c r="G18" s="552"/>
      <c r="H18" s="552"/>
      <c r="I18" s="552"/>
      <c r="J18" s="552"/>
      <c r="K18" s="552"/>
      <c r="L18" s="552"/>
      <c r="M18" s="552"/>
      <c r="N18" s="552"/>
      <c r="O18" s="552"/>
      <c r="P18" s="552"/>
      <c r="Q18" s="552"/>
      <c r="R18" s="553"/>
    </row>
    <row r="19" spans="3:18" x14ac:dyDescent="0.25">
      <c r="C19" s="551" t="s">
        <v>934</v>
      </c>
      <c r="D19" s="552"/>
      <c r="E19" s="552"/>
      <c r="F19" s="552"/>
      <c r="G19" s="552"/>
      <c r="H19" s="552"/>
      <c r="I19" s="552"/>
      <c r="J19" s="552"/>
      <c r="K19" s="552"/>
      <c r="L19" s="552"/>
      <c r="M19" s="552"/>
      <c r="N19" s="552"/>
      <c r="O19" s="552"/>
      <c r="P19" s="552"/>
      <c r="Q19" s="552"/>
      <c r="R19" s="553"/>
    </row>
    <row r="20" spans="3:18" ht="24" thickBot="1" x14ac:dyDescent="0.3">
      <c r="C20" s="555" t="s">
        <v>935</v>
      </c>
      <c r="D20" s="556"/>
      <c r="E20" s="556"/>
      <c r="F20" s="556"/>
      <c r="G20" s="556"/>
      <c r="H20" s="556"/>
      <c r="I20" s="556"/>
      <c r="J20" s="556"/>
      <c r="K20" s="556"/>
      <c r="L20" s="556"/>
      <c r="M20" s="556"/>
      <c r="N20" s="556"/>
      <c r="O20" s="556"/>
      <c r="P20" s="556"/>
      <c r="Q20" s="556"/>
      <c r="R20" s="557"/>
    </row>
    <row r="21" spans="3:18" ht="31.5" thickBot="1" x14ac:dyDescent="0.3">
      <c r="C21" s="748" t="s">
        <v>936</v>
      </c>
      <c r="D21" s="749"/>
      <c r="E21" s="749"/>
      <c r="F21" s="749"/>
      <c r="G21" s="749"/>
      <c r="H21" s="749"/>
      <c r="I21" s="749"/>
      <c r="J21" s="749"/>
      <c r="K21" s="749"/>
      <c r="L21" s="749"/>
      <c r="M21" s="749"/>
      <c r="N21" s="749"/>
      <c r="O21" s="749"/>
      <c r="P21" s="749"/>
      <c r="Q21" s="749"/>
      <c r="R21" s="750"/>
    </row>
    <row r="22" spans="3:18" ht="23.25" customHeight="1" x14ac:dyDescent="0.25">
      <c r="C22" s="735" t="s">
        <v>937</v>
      </c>
      <c r="D22" s="736"/>
      <c r="E22" s="736"/>
      <c r="F22" s="736"/>
      <c r="G22" s="736"/>
      <c r="H22" s="736"/>
      <c r="I22" s="736"/>
      <c r="J22" s="736"/>
      <c r="K22" s="736"/>
      <c r="L22" s="736"/>
      <c r="M22" s="736"/>
      <c r="N22" s="736"/>
      <c r="O22" s="736"/>
      <c r="P22" s="736"/>
      <c r="Q22" s="736"/>
      <c r="R22" s="737"/>
    </row>
    <row r="23" spans="3:18" x14ac:dyDescent="0.25">
      <c r="C23" s="708"/>
      <c r="D23" s="709"/>
      <c r="E23" s="709"/>
      <c r="F23" s="709"/>
      <c r="G23" s="709"/>
      <c r="H23" s="709"/>
      <c r="I23" s="709"/>
      <c r="J23" s="709"/>
      <c r="K23" s="709"/>
      <c r="L23" s="709"/>
      <c r="M23" s="709"/>
      <c r="N23" s="709"/>
      <c r="O23" s="709"/>
      <c r="P23" s="709"/>
      <c r="Q23" s="709"/>
      <c r="R23" s="710"/>
    </row>
    <row r="24" spans="3:18" x14ac:dyDescent="0.25">
      <c r="C24" s="708"/>
      <c r="D24" s="709"/>
      <c r="E24" s="709"/>
      <c r="F24" s="709"/>
      <c r="G24" s="709"/>
      <c r="H24" s="709"/>
      <c r="I24" s="709"/>
      <c r="J24" s="709"/>
      <c r="K24" s="709"/>
      <c r="L24" s="709"/>
      <c r="M24" s="709"/>
      <c r="N24" s="709"/>
      <c r="O24" s="709"/>
      <c r="P24" s="709"/>
      <c r="Q24" s="709"/>
      <c r="R24" s="710"/>
    </row>
    <row r="25" spans="3:18" x14ac:dyDescent="0.25">
      <c r="C25" s="708"/>
      <c r="D25" s="709"/>
      <c r="E25" s="709"/>
      <c r="F25" s="709"/>
      <c r="G25" s="709"/>
      <c r="H25" s="709"/>
      <c r="I25" s="709"/>
      <c r="J25" s="709"/>
      <c r="K25" s="709"/>
      <c r="L25" s="709"/>
      <c r="M25" s="709"/>
      <c r="N25" s="709"/>
      <c r="O25" s="709"/>
      <c r="P25" s="709"/>
      <c r="Q25" s="709"/>
      <c r="R25" s="710"/>
    </row>
    <row r="26" spans="3:18" x14ac:dyDescent="0.25">
      <c r="C26" s="708"/>
      <c r="D26" s="709"/>
      <c r="E26" s="709"/>
      <c r="F26" s="709"/>
      <c r="G26" s="709"/>
      <c r="H26" s="709"/>
      <c r="I26" s="709"/>
      <c r="J26" s="709"/>
      <c r="K26" s="709"/>
      <c r="L26" s="709"/>
      <c r="M26" s="709"/>
      <c r="N26" s="709"/>
      <c r="O26" s="709"/>
      <c r="P26" s="709"/>
      <c r="Q26" s="709"/>
      <c r="R26" s="710"/>
    </row>
    <row r="27" spans="3:18" x14ac:dyDescent="0.25">
      <c r="C27" s="708"/>
      <c r="D27" s="709"/>
      <c r="E27" s="709"/>
      <c r="F27" s="709"/>
      <c r="G27" s="709"/>
      <c r="H27" s="709"/>
      <c r="I27" s="709"/>
      <c r="J27" s="709"/>
      <c r="K27" s="709"/>
      <c r="L27" s="709"/>
      <c r="M27" s="709"/>
      <c r="N27" s="709"/>
      <c r="O27" s="709"/>
      <c r="P27" s="709"/>
      <c r="Q27" s="709"/>
      <c r="R27" s="710"/>
    </row>
    <row r="28" spans="3:18" ht="24" thickBot="1" x14ac:dyDescent="0.3">
      <c r="C28" s="711"/>
      <c r="D28" s="712"/>
      <c r="E28" s="712"/>
      <c r="F28" s="712"/>
      <c r="G28" s="712"/>
      <c r="H28" s="712"/>
      <c r="I28" s="712"/>
      <c r="J28" s="712"/>
      <c r="K28" s="712"/>
      <c r="L28" s="712"/>
      <c r="M28" s="712"/>
      <c r="N28" s="712"/>
      <c r="O28" s="712"/>
      <c r="P28" s="712"/>
      <c r="Q28" s="712"/>
      <c r="R28" s="713"/>
    </row>
    <row r="29" spans="3:18" ht="31.5" thickBot="1" x14ac:dyDescent="0.3">
      <c r="C29" s="748" t="s">
        <v>938</v>
      </c>
      <c r="D29" s="749"/>
      <c r="E29" s="749"/>
      <c r="F29" s="749"/>
      <c r="G29" s="749"/>
      <c r="H29" s="749"/>
      <c r="I29" s="749"/>
      <c r="J29" s="749"/>
      <c r="K29" s="749"/>
      <c r="L29" s="749"/>
      <c r="M29" s="749"/>
      <c r="N29" s="749"/>
      <c r="O29" s="749"/>
      <c r="P29" s="749"/>
      <c r="Q29" s="749"/>
      <c r="R29" s="750"/>
    </row>
    <row r="30" spans="3:18" ht="23.25" customHeight="1" x14ac:dyDescent="0.25">
      <c r="C30" s="735" t="s">
        <v>1095</v>
      </c>
      <c r="D30" s="736"/>
      <c r="E30" s="736"/>
      <c r="F30" s="736"/>
      <c r="G30" s="736"/>
      <c r="H30" s="736"/>
      <c r="I30" s="736"/>
      <c r="J30" s="736"/>
      <c r="K30" s="736"/>
      <c r="L30" s="736"/>
      <c r="M30" s="736"/>
      <c r="N30" s="736"/>
      <c r="O30" s="736"/>
      <c r="P30" s="736"/>
      <c r="Q30" s="736"/>
      <c r="R30" s="737"/>
    </row>
    <row r="31" spans="3:18" x14ac:dyDescent="0.25">
      <c r="C31" s="708"/>
      <c r="D31" s="709"/>
      <c r="E31" s="709"/>
      <c r="F31" s="709"/>
      <c r="G31" s="709"/>
      <c r="H31" s="709"/>
      <c r="I31" s="709"/>
      <c r="J31" s="709"/>
      <c r="K31" s="709"/>
      <c r="L31" s="709"/>
      <c r="M31" s="709"/>
      <c r="N31" s="709"/>
      <c r="O31" s="709"/>
      <c r="P31" s="709"/>
      <c r="Q31" s="709"/>
      <c r="R31" s="710"/>
    </row>
    <row r="32" spans="3:18" x14ac:dyDescent="0.25">
      <c r="C32" s="708"/>
      <c r="D32" s="709"/>
      <c r="E32" s="709"/>
      <c r="F32" s="709"/>
      <c r="G32" s="709"/>
      <c r="H32" s="709"/>
      <c r="I32" s="709"/>
      <c r="J32" s="709"/>
      <c r="K32" s="709"/>
      <c r="L32" s="709"/>
      <c r="M32" s="709"/>
      <c r="N32" s="709"/>
      <c r="O32" s="709"/>
      <c r="P32" s="709"/>
      <c r="Q32" s="709"/>
      <c r="R32" s="710"/>
    </row>
    <row r="33" spans="3:18" x14ac:dyDescent="0.25">
      <c r="C33" s="708"/>
      <c r="D33" s="709"/>
      <c r="E33" s="709"/>
      <c r="F33" s="709"/>
      <c r="G33" s="709"/>
      <c r="H33" s="709"/>
      <c r="I33" s="709"/>
      <c r="J33" s="709"/>
      <c r="K33" s="709"/>
      <c r="L33" s="709"/>
      <c r="M33" s="709"/>
      <c r="N33" s="709"/>
      <c r="O33" s="709"/>
      <c r="P33" s="709"/>
      <c r="Q33" s="709"/>
      <c r="R33" s="710"/>
    </row>
    <row r="34" spans="3:18" ht="23.25" customHeight="1" x14ac:dyDescent="0.25">
      <c r="C34" s="708" t="s">
        <v>961</v>
      </c>
      <c r="D34" s="709"/>
      <c r="E34" s="709"/>
      <c r="F34" s="709"/>
      <c r="G34" s="709"/>
      <c r="H34" s="709"/>
      <c r="I34" s="709"/>
      <c r="J34" s="709"/>
      <c r="K34" s="709"/>
      <c r="L34" s="709"/>
      <c r="M34" s="709"/>
      <c r="N34" s="709"/>
      <c r="O34" s="709"/>
      <c r="P34" s="709"/>
      <c r="Q34" s="709"/>
      <c r="R34" s="710"/>
    </row>
    <row r="35" spans="3:18" x14ac:dyDescent="0.25">
      <c r="C35" s="708"/>
      <c r="D35" s="709"/>
      <c r="E35" s="709"/>
      <c r="F35" s="709"/>
      <c r="G35" s="709"/>
      <c r="H35" s="709"/>
      <c r="I35" s="709"/>
      <c r="J35" s="709"/>
      <c r="K35" s="709"/>
      <c r="L35" s="709"/>
      <c r="M35" s="709"/>
      <c r="N35" s="709"/>
      <c r="O35" s="709"/>
      <c r="P35" s="709"/>
      <c r="Q35" s="709"/>
      <c r="R35" s="710"/>
    </row>
    <row r="36" spans="3:18" x14ac:dyDescent="0.25">
      <c r="C36" s="708"/>
      <c r="D36" s="709"/>
      <c r="E36" s="709"/>
      <c r="F36" s="709"/>
      <c r="G36" s="709"/>
      <c r="H36" s="709"/>
      <c r="I36" s="709"/>
      <c r="J36" s="709"/>
      <c r="K36" s="709"/>
      <c r="L36" s="709"/>
      <c r="M36" s="709"/>
      <c r="N36" s="709"/>
      <c r="O36" s="709"/>
      <c r="P36" s="709"/>
      <c r="Q36" s="709"/>
      <c r="R36" s="710"/>
    </row>
    <row r="37" spans="3:18" x14ac:dyDescent="0.25">
      <c r="C37" s="708"/>
      <c r="D37" s="709"/>
      <c r="E37" s="709"/>
      <c r="F37" s="709"/>
      <c r="G37" s="709"/>
      <c r="H37" s="709"/>
      <c r="I37" s="709"/>
      <c r="J37" s="709"/>
      <c r="K37" s="709"/>
      <c r="L37" s="709"/>
      <c r="M37" s="709"/>
      <c r="N37" s="709"/>
      <c r="O37" s="709"/>
      <c r="P37" s="709"/>
      <c r="Q37" s="709"/>
      <c r="R37" s="710"/>
    </row>
    <row r="38" spans="3:18" ht="23.25" customHeight="1" thickBot="1" x14ac:dyDescent="0.3">
      <c r="C38" s="741" t="s">
        <v>943</v>
      </c>
      <c r="D38" s="742"/>
      <c r="E38" s="742"/>
      <c r="F38" s="742"/>
      <c r="G38" s="742"/>
      <c r="H38" s="742"/>
      <c r="I38" s="742"/>
      <c r="J38" s="742"/>
      <c r="K38" s="742"/>
      <c r="L38" s="742"/>
      <c r="M38" s="742"/>
      <c r="N38" s="742"/>
      <c r="O38" s="533"/>
      <c r="P38" s="533"/>
      <c r="Q38" s="533"/>
      <c r="R38" s="534"/>
    </row>
    <row r="39" spans="3:18" ht="24" thickBot="1" x14ac:dyDescent="0.3">
      <c r="C39" s="741"/>
      <c r="D39" s="742"/>
      <c r="E39" s="742"/>
      <c r="F39" s="742"/>
      <c r="G39" s="742"/>
      <c r="H39" s="742"/>
      <c r="I39" s="742"/>
      <c r="J39" s="742"/>
      <c r="K39" s="742"/>
      <c r="L39" s="742"/>
      <c r="M39" s="742"/>
      <c r="N39" s="742"/>
      <c r="O39" s="533"/>
      <c r="P39" s="743"/>
      <c r="Q39" s="744"/>
      <c r="R39" s="534"/>
    </row>
    <row r="40" spans="3:18" x14ac:dyDescent="0.25">
      <c r="C40" s="741"/>
      <c r="D40" s="742"/>
      <c r="E40" s="742"/>
      <c r="F40" s="742"/>
      <c r="G40" s="742"/>
      <c r="H40" s="742"/>
      <c r="I40" s="742"/>
      <c r="J40" s="742"/>
      <c r="K40" s="742"/>
      <c r="L40" s="742"/>
      <c r="M40" s="742"/>
      <c r="N40" s="742"/>
      <c r="O40" s="533"/>
      <c r="P40" s="533"/>
      <c r="Q40" s="533"/>
      <c r="R40" s="534"/>
    </row>
    <row r="41" spans="3:18" x14ac:dyDescent="0.25">
      <c r="C41" s="708" t="s">
        <v>1096</v>
      </c>
      <c r="D41" s="709"/>
      <c r="E41" s="709"/>
      <c r="F41" s="709"/>
      <c r="G41" s="709"/>
      <c r="H41" s="709"/>
      <c r="I41" s="709"/>
      <c r="J41" s="709"/>
      <c r="K41" s="709"/>
      <c r="L41" s="709"/>
      <c r="M41" s="709"/>
      <c r="N41" s="709"/>
      <c r="O41" s="709"/>
      <c r="P41" s="709"/>
      <c r="Q41" s="709"/>
      <c r="R41" s="710"/>
    </row>
    <row r="42" spans="3:18" x14ac:dyDescent="0.25">
      <c r="C42" s="708"/>
      <c r="D42" s="709"/>
      <c r="E42" s="709"/>
      <c r="F42" s="709"/>
      <c r="G42" s="709"/>
      <c r="H42" s="709"/>
      <c r="I42" s="709"/>
      <c r="J42" s="709"/>
      <c r="K42" s="709"/>
      <c r="L42" s="709"/>
      <c r="M42" s="709"/>
      <c r="N42" s="709"/>
      <c r="O42" s="709"/>
      <c r="P42" s="709"/>
      <c r="Q42" s="709"/>
      <c r="R42" s="710"/>
    </row>
    <row r="43" spans="3:18" ht="23.25" customHeight="1" x14ac:dyDescent="0.25">
      <c r="C43" s="708" t="s">
        <v>942</v>
      </c>
      <c r="D43" s="709"/>
      <c r="E43" s="709"/>
      <c r="F43" s="709"/>
      <c r="G43" s="709"/>
      <c r="H43" s="709"/>
      <c r="I43" s="709"/>
      <c r="J43" s="709"/>
      <c r="K43" s="709"/>
      <c r="L43" s="709"/>
      <c r="M43" s="709"/>
      <c r="N43" s="709"/>
      <c r="O43" s="709"/>
      <c r="P43" s="709"/>
      <c r="Q43" s="709"/>
      <c r="R43" s="710"/>
    </row>
    <row r="44" spans="3:18" ht="24" thickBot="1" x14ac:dyDescent="0.3">
      <c r="C44" s="711"/>
      <c r="D44" s="712"/>
      <c r="E44" s="712"/>
      <c r="F44" s="712"/>
      <c r="G44" s="712"/>
      <c r="H44" s="712"/>
      <c r="I44" s="712"/>
      <c r="J44" s="712"/>
      <c r="K44" s="712"/>
      <c r="L44" s="712"/>
      <c r="M44" s="712"/>
      <c r="N44" s="712"/>
      <c r="O44" s="712"/>
      <c r="P44" s="712"/>
      <c r="Q44" s="712"/>
      <c r="R44" s="713"/>
    </row>
    <row r="45" spans="3:18" ht="31.5" thickBot="1" x14ac:dyDescent="0.3">
      <c r="C45" s="748" t="s">
        <v>944</v>
      </c>
      <c r="D45" s="749"/>
      <c r="E45" s="749"/>
      <c r="F45" s="749"/>
      <c r="G45" s="749"/>
      <c r="H45" s="749"/>
      <c r="I45" s="749"/>
      <c r="J45" s="749"/>
      <c r="K45" s="749"/>
      <c r="L45" s="749"/>
      <c r="M45" s="749"/>
      <c r="N45" s="749"/>
      <c r="O45" s="749"/>
      <c r="P45" s="749"/>
      <c r="Q45" s="749"/>
      <c r="R45" s="750"/>
    </row>
    <row r="46" spans="3:18" ht="24" thickBot="1" x14ac:dyDescent="0.3">
      <c r="C46" s="726" t="s">
        <v>945</v>
      </c>
      <c r="D46" s="727"/>
      <c r="E46" s="727"/>
      <c r="F46" s="727"/>
      <c r="G46" s="727"/>
      <c r="H46" s="727"/>
      <c r="I46" s="727"/>
      <c r="J46" s="727"/>
      <c r="K46" s="727"/>
      <c r="L46" s="727"/>
      <c r="M46" s="727"/>
      <c r="N46" s="727"/>
      <c r="O46" s="727"/>
      <c r="P46" s="727"/>
      <c r="Q46" s="727"/>
      <c r="R46" s="728"/>
    </row>
    <row r="47" spans="3:18" x14ac:dyDescent="0.25">
      <c r="C47" s="708" t="s">
        <v>946</v>
      </c>
      <c r="D47" s="709"/>
      <c r="E47" s="709"/>
      <c r="F47" s="709"/>
      <c r="G47" s="709"/>
      <c r="H47" s="709"/>
      <c r="I47" s="709"/>
      <c r="J47" s="709"/>
      <c r="K47" s="709"/>
      <c r="L47" s="709"/>
      <c r="M47" s="709"/>
      <c r="N47" s="709"/>
      <c r="O47" s="709"/>
      <c r="P47" s="709"/>
      <c r="Q47" s="709"/>
      <c r="R47" s="710"/>
    </row>
    <row r="48" spans="3:18" ht="24" thickBot="1" x14ac:dyDescent="0.3">
      <c r="C48" s="711"/>
      <c r="D48" s="712"/>
      <c r="E48" s="712"/>
      <c r="F48" s="712"/>
      <c r="G48" s="712"/>
      <c r="H48" s="712"/>
      <c r="I48" s="712"/>
      <c r="J48" s="712"/>
      <c r="K48" s="712"/>
      <c r="L48" s="712"/>
      <c r="M48" s="712"/>
      <c r="N48" s="712"/>
      <c r="O48" s="712"/>
      <c r="P48" s="712"/>
      <c r="Q48" s="712"/>
      <c r="R48" s="713"/>
    </row>
    <row r="49" spans="3:18" ht="24" thickBot="1" x14ac:dyDescent="0.3">
      <c r="C49" s="726" t="s">
        <v>947</v>
      </c>
      <c r="D49" s="727"/>
      <c r="E49" s="727"/>
      <c r="F49" s="727"/>
      <c r="G49" s="727"/>
      <c r="H49" s="727"/>
      <c r="I49" s="727"/>
      <c r="J49" s="727"/>
      <c r="K49" s="727"/>
      <c r="L49" s="727"/>
      <c r="M49" s="727"/>
      <c r="N49" s="727"/>
      <c r="O49" s="727"/>
      <c r="P49" s="727"/>
      <c r="Q49" s="727"/>
      <c r="R49" s="728"/>
    </row>
    <row r="50" spans="3:18" ht="23.25" customHeight="1" x14ac:dyDescent="0.25">
      <c r="C50" s="708" t="s">
        <v>957</v>
      </c>
      <c r="D50" s="709"/>
      <c r="E50" s="709"/>
      <c r="F50" s="709"/>
      <c r="G50" s="709"/>
      <c r="H50" s="709"/>
      <c r="I50" s="709"/>
      <c r="J50" s="709"/>
      <c r="K50" s="709"/>
      <c r="L50" s="709"/>
      <c r="M50" s="709"/>
      <c r="N50" s="709"/>
      <c r="O50" s="709"/>
      <c r="P50" s="709"/>
      <c r="Q50" s="709"/>
      <c r="R50" s="710"/>
    </row>
    <row r="51" spans="3:18" x14ac:dyDescent="0.25">
      <c r="C51" s="708"/>
      <c r="D51" s="709"/>
      <c r="E51" s="709"/>
      <c r="F51" s="709"/>
      <c r="G51" s="709"/>
      <c r="H51" s="709"/>
      <c r="I51" s="709"/>
      <c r="J51" s="709"/>
      <c r="K51" s="709"/>
      <c r="L51" s="709"/>
      <c r="M51" s="709"/>
      <c r="N51" s="709"/>
      <c r="O51" s="709"/>
      <c r="P51" s="709"/>
      <c r="Q51" s="709"/>
      <c r="R51" s="710"/>
    </row>
    <row r="52" spans="3:18" x14ac:dyDescent="0.25">
      <c r="C52" s="708"/>
      <c r="D52" s="709"/>
      <c r="E52" s="709"/>
      <c r="F52" s="709"/>
      <c r="G52" s="709"/>
      <c r="H52" s="709"/>
      <c r="I52" s="709"/>
      <c r="J52" s="709"/>
      <c r="K52" s="709"/>
      <c r="L52" s="709"/>
      <c r="M52" s="709"/>
      <c r="N52" s="709"/>
      <c r="O52" s="709"/>
      <c r="P52" s="709"/>
      <c r="Q52" s="709"/>
      <c r="R52" s="710"/>
    </row>
    <row r="53" spans="3:18" x14ac:dyDescent="0.25">
      <c r="C53" s="708"/>
      <c r="D53" s="709"/>
      <c r="E53" s="709"/>
      <c r="F53" s="709"/>
      <c r="G53" s="709"/>
      <c r="H53" s="709"/>
      <c r="I53" s="709"/>
      <c r="J53" s="709"/>
      <c r="K53" s="709"/>
      <c r="L53" s="709"/>
      <c r="M53" s="709"/>
      <c r="N53" s="709"/>
      <c r="O53" s="709"/>
      <c r="P53" s="709"/>
      <c r="Q53" s="709"/>
      <c r="R53" s="710"/>
    </row>
    <row r="54" spans="3:18" x14ac:dyDescent="0.25">
      <c r="C54" s="708"/>
      <c r="D54" s="709"/>
      <c r="E54" s="709"/>
      <c r="F54" s="709"/>
      <c r="G54" s="709"/>
      <c r="H54" s="709"/>
      <c r="I54" s="709"/>
      <c r="J54" s="709"/>
      <c r="K54" s="709"/>
      <c r="L54" s="709"/>
      <c r="M54" s="709"/>
      <c r="N54" s="709"/>
      <c r="O54" s="709"/>
      <c r="P54" s="709"/>
      <c r="Q54" s="709"/>
      <c r="R54" s="710"/>
    </row>
    <row r="55" spans="3:18" x14ac:dyDescent="0.25">
      <c r="C55" s="708"/>
      <c r="D55" s="709"/>
      <c r="E55" s="709"/>
      <c r="F55" s="709"/>
      <c r="G55" s="709"/>
      <c r="H55" s="709"/>
      <c r="I55" s="709"/>
      <c r="J55" s="709"/>
      <c r="K55" s="709"/>
      <c r="L55" s="709"/>
      <c r="M55" s="709"/>
      <c r="N55" s="709"/>
      <c r="O55" s="709"/>
      <c r="P55" s="709"/>
      <c r="Q55" s="709"/>
      <c r="R55" s="710"/>
    </row>
    <row r="56" spans="3:18" ht="23.25" customHeight="1" x14ac:dyDescent="0.25">
      <c r="C56" s="708" t="s">
        <v>974</v>
      </c>
      <c r="D56" s="709"/>
      <c r="E56" s="709"/>
      <c r="F56" s="709"/>
      <c r="G56" s="709"/>
      <c r="H56" s="709"/>
      <c r="I56" s="709"/>
      <c r="J56" s="709"/>
      <c r="K56" s="709"/>
      <c r="L56" s="709"/>
      <c r="M56" s="709"/>
      <c r="N56" s="709"/>
      <c r="O56" s="709"/>
      <c r="P56" s="709"/>
      <c r="Q56" s="709"/>
      <c r="R56" s="710"/>
    </row>
    <row r="57" spans="3:18" x14ac:dyDescent="0.25">
      <c r="C57" s="708"/>
      <c r="D57" s="709"/>
      <c r="E57" s="709"/>
      <c r="F57" s="709"/>
      <c r="G57" s="709"/>
      <c r="H57" s="709"/>
      <c r="I57" s="709"/>
      <c r="J57" s="709"/>
      <c r="K57" s="709"/>
      <c r="L57" s="709"/>
      <c r="M57" s="709"/>
      <c r="N57" s="709"/>
      <c r="O57" s="709"/>
      <c r="P57" s="709"/>
      <c r="Q57" s="709"/>
      <c r="R57" s="710"/>
    </row>
    <row r="58" spans="3:18" x14ac:dyDescent="0.25">
      <c r="C58" s="708"/>
      <c r="D58" s="709"/>
      <c r="E58" s="709"/>
      <c r="F58" s="709"/>
      <c r="G58" s="709"/>
      <c r="H58" s="709"/>
      <c r="I58" s="709"/>
      <c r="J58" s="709"/>
      <c r="K58" s="709"/>
      <c r="L58" s="709"/>
      <c r="M58" s="709"/>
      <c r="N58" s="709"/>
      <c r="O58" s="709"/>
      <c r="P58" s="709"/>
      <c r="Q58" s="709"/>
      <c r="R58" s="710"/>
    </row>
    <row r="59" spans="3:18" ht="24" thickBot="1" x14ac:dyDescent="0.3">
      <c r="C59" s="711"/>
      <c r="D59" s="712"/>
      <c r="E59" s="712"/>
      <c r="F59" s="712"/>
      <c r="G59" s="712"/>
      <c r="H59" s="712"/>
      <c r="I59" s="712"/>
      <c r="J59" s="712"/>
      <c r="K59" s="712"/>
      <c r="L59" s="712"/>
      <c r="M59" s="712"/>
      <c r="N59" s="712"/>
      <c r="O59" s="712"/>
      <c r="P59" s="712"/>
      <c r="Q59" s="712"/>
      <c r="R59" s="713"/>
    </row>
    <row r="60" spans="3:18" ht="23.25" customHeight="1" thickBot="1" x14ac:dyDescent="0.3">
      <c r="C60" s="726" t="s">
        <v>948</v>
      </c>
      <c r="D60" s="727"/>
      <c r="E60" s="727"/>
      <c r="F60" s="727"/>
      <c r="G60" s="727"/>
      <c r="H60" s="727"/>
      <c r="I60" s="727"/>
      <c r="J60" s="727"/>
      <c r="K60" s="727"/>
      <c r="L60" s="727"/>
      <c r="M60" s="727"/>
      <c r="N60" s="727"/>
      <c r="O60" s="727"/>
      <c r="P60" s="727"/>
      <c r="Q60" s="727"/>
      <c r="R60" s="728"/>
    </row>
    <row r="61" spans="3:18" ht="23.25" customHeight="1" x14ac:dyDescent="0.25">
      <c r="C61" s="708" t="s">
        <v>959</v>
      </c>
      <c r="D61" s="709"/>
      <c r="E61" s="709"/>
      <c r="F61" s="709"/>
      <c r="G61" s="709"/>
      <c r="H61" s="709"/>
      <c r="I61" s="709"/>
      <c r="J61" s="709"/>
      <c r="K61" s="709"/>
      <c r="L61" s="709"/>
      <c r="M61" s="709"/>
      <c r="N61" s="709"/>
      <c r="O61" s="709"/>
      <c r="P61" s="709"/>
      <c r="Q61" s="709"/>
      <c r="R61" s="710"/>
    </row>
    <row r="62" spans="3:18" x14ac:dyDescent="0.25">
      <c r="C62" s="708"/>
      <c r="D62" s="709"/>
      <c r="E62" s="709"/>
      <c r="F62" s="709"/>
      <c r="G62" s="709"/>
      <c r="H62" s="709"/>
      <c r="I62" s="709"/>
      <c r="J62" s="709"/>
      <c r="K62" s="709"/>
      <c r="L62" s="709"/>
      <c r="M62" s="709"/>
      <c r="N62" s="709"/>
      <c r="O62" s="709"/>
      <c r="P62" s="709"/>
      <c r="Q62" s="709"/>
      <c r="R62" s="710"/>
    </row>
    <row r="63" spans="3:18" ht="23.25" customHeight="1" x14ac:dyDescent="0.25">
      <c r="C63" s="732" t="s">
        <v>958</v>
      </c>
      <c r="D63" s="733"/>
      <c r="E63" s="733"/>
      <c r="F63" s="733"/>
      <c r="G63" s="733"/>
      <c r="H63" s="733"/>
      <c r="I63" s="733"/>
      <c r="J63" s="733"/>
      <c r="K63" s="733"/>
      <c r="L63" s="733"/>
      <c r="M63" s="733"/>
      <c r="N63" s="733"/>
      <c r="O63" s="733"/>
      <c r="P63" s="733"/>
      <c r="Q63" s="733"/>
      <c r="R63" s="734"/>
    </row>
    <row r="64" spans="3:18" x14ac:dyDescent="0.25">
      <c r="C64" s="732"/>
      <c r="D64" s="733"/>
      <c r="E64" s="733"/>
      <c r="F64" s="733"/>
      <c r="G64" s="733"/>
      <c r="H64" s="733"/>
      <c r="I64" s="733"/>
      <c r="J64" s="733"/>
      <c r="K64" s="733"/>
      <c r="L64" s="733"/>
      <c r="M64" s="733"/>
      <c r="N64" s="733"/>
      <c r="O64" s="733"/>
      <c r="P64" s="733"/>
      <c r="Q64" s="733"/>
      <c r="R64" s="734"/>
    </row>
    <row r="65" spans="3:18" ht="23.25" customHeight="1" x14ac:dyDescent="0.25">
      <c r="C65" s="708" t="s">
        <v>964</v>
      </c>
      <c r="D65" s="709"/>
      <c r="E65" s="709"/>
      <c r="F65" s="709"/>
      <c r="G65" s="709"/>
      <c r="H65" s="709"/>
      <c r="I65" s="709"/>
      <c r="J65" s="709"/>
      <c r="K65" s="709"/>
      <c r="L65" s="709"/>
      <c r="M65" s="709"/>
      <c r="N65" s="709"/>
      <c r="O65" s="709"/>
      <c r="P65" s="709"/>
      <c r="Q65" s="709"/>
      <c r="R65" s="710"/>
    </row>
    <row r="66" spans="3:18" x14ac:dyDescent="0.25">
      <c r="C66" s="708"/>
      <c r="D66" s="709"/>
      <c r="E66" s="709"/>
      <c r="F66" s="709"/>
      <c r="G66" s="709"/>
      <c r="H66" s="709"/>
      <c r="I66" s="709"/>
      <c r="J66" s="709"/>
      <c r="K66" s="709"/>
      <c r="L66" s="709"/>
      <c r="M66" s="709"/>
      <c r="N66" s="709"/>
      <c r="O66" s="709"/>
      <c r="P66" s="709"/>
      <c r="Q66" s="709"/>
      <c r="R66" s="710"/>
    </row>
    <row r="67" spans="3:18" x14ac:dyDescent="0.25">
      <c r="C67" s="708"/>
      <c r="D67" s="709"/>
      <c r="E67" s="709"/>
      <c r="F67" s="709"/>
      <c r="G67" s="709"/>
      <c r="H67" s="709"/>
      <c r="I67" s="709"/>
      <c r="J67" s="709"/>
      <c r="K67" s="709"/>
      <c r="L67" s="709"/>
      <c r="M67" s="709"/>
      <c r="N67" s="709"/>
      <c r="O67" s="709"/>
      <c r="P67" s="709"/>
      <c r="Q67" s="709"/>
      <c r="R67" s="710"/>
    </row>
    <row r="68" spans="3:18" x14ac:dyDescent="0.25">
      <c r="C68" s="708"/>
      <c r="D68" s="709"/>
      <c r="E68" s="709"/>
      <c r="F68" s="709"/>
      <c r="G68" s="709"/>
      <c r="H68" s="709"/>
      <c r="I68" s="709"/>
      <c r="J68" s="709"/>
      <c r="K68" s="709"/>
      <c r="L68" s="709"/>
      <c r="M68" s="709"/>
      <c r="N68" s="709"/>
      <c r="O68" s="709"/>
      <c r="P68" s="709"/>
      <c r="Q68" s="709"/>
      <c r="R68" s="710"/>
    </row>
    <row r="69" spans="3:18" x14ac:dyDescent="0.25">
      <c r="C69" s="708"/>
      <c r="D69" s="709"/>
      <c r="E69" s="709"/>
      <c r="F69" s="709"/>
      <c r="G69" s="709"/>
      <c r="H69" s="709"/>
      <c r="I69" s="709"/>
      <c r="J69" s="709"/>
      <c r="K69" s="709"/>
      <c r="L69" s="709"/>
      <c r="M69" s="709"/>
      <c r="N69" s="709"/>
      <c r="O69" s="709"/>
      <c r="P69" s="709"/>
      <c r="Q69" s="709"/>
      <c r="R69" s="710"/>
    </row>
    <row r="70" spans="3:18" ht="24" thickBot="1" x14ac:dyDescent="0.3">
      <c r="C70" s="711"/>
      <c r="D70" s="712"/>
      <c r="E70" s="712"/>
      <c r="F70" s="712"/>
      <c r="G70" s="712"/>
      <c r="H70" s="712"/>
      <c r="I70" s="712"/>
      <c r="J70" s="712"/>
      <c r="K70" s="712"/>
      <c r="L70" s="712"/>
      <c r="M70" s="712"/>
      <c r="N70" s="712"/>
      <c r="O70" s="712"/>
      <c r="P70" s="712"/>
      <c r="Q70" s="712"/>
      <c r="R70" s="713"/>
    </row>
    <row r="71" spans="3:18" ht="24" thickBot="1" x14ac:dyDescent="0.3">
      <c r="C71" s="726" t="s">
        <v>949</v>
      </c>
      <c r="D71" s="727"/>
      <c r="E71" s="727"/>
      <c r="F71" s="727"/>
      <c r="G71" s="727"/>
      <c r="H71" s="727"/>
      <c r="I71" s="727"/>
      <c r="J71" s="727"/>
      <c r="K71" s="727"/>
      <c r="L71" s="727"/>
      <c r="M71" s="727"/>
      <c r="N71" s="727"/>
      <c r="O71" s="727"/>
      <c r="P71" s="727"/>
      <c r="Q71" s="727"/>
      <c r="R71" s="728"/>
    </row>
    <row r="72" spans="3:18" ht="23.25" customHeight="1" x14ac:dyDescent="0.25">
      <c r="C72" s="708" t="s">
        <v>966</v>
      </c>
      <c r="D72" s="709"/>
      <c r="E72" s="709"/>
      <c r="F72" s="709"/>
      <c r="G72" s="709"/>
      <c r="H72" s="709"/>
      <c r="I72" s="709"/>
      <c r="J72" s="709"/>
      <c r="K72" s="709"/>
      <c r="L72" s="709"/>
      <c r="M72" s="709"/>
      <c r="N72" s="709"/>
      <c r="O72" s="709"/>
      <c r="P72" s="709"/>
      <c r="Q72" s="709"/>
      <c r="R72" s="710"/>
    </row>
    <row r="73" spans="3:18" x14ac:dyDescent="0.25">
      <c r="C73" s="708"/>
      <c r="D73" s="709"/>
      <c r="E73" s="709"/>
      <c r="F73" s="709"/>
      <c r="G73" s="709"/>
      <c r="H73" s="709"/>
      <c r="I73" s="709"/>
      <c r="J73" s="709"/>
      <c r="K73" s="709"/>
      <c r="L73" s="709"/>
      <c r="M73" s="709"/>
      <c r="N73" s="709"/>
      <c r="O73" s="709"/>
      <c r="P73" s="709"/>
      <c r="Q73" s="709"/>
      <c r="R73" s="710"/>
    </row>
    <row r="74" spans="3:18" x14ac:dyDescent="0.25">
      <c r="C74" s="708"/>
      <c r="D74" s="709"/>
      <c r="E74" s="709"/>
      <c r="F74" s="709"/>
      <c r="G74" s="709"/>
      <c r="H74" s="709"/>
      <c r="I74" s="709"/>
      <c r="J74" s="709"/>
      <c r="K74" s="709"/>
      <c r="L74" s="709"/>
      <c r="M74" s="709"/>
      <c r="N74" s="709"/>
      <c r="O74" s="709"/>
      <c r="P74" s="709"/>
      <c r="Q74" s="709"/>
      <c r="R74" s="710"/>
    </row>
    <row r="75" spans="3:18" x14ac:dyDescent="0.25">
      <c r="C75" s="708"/>
      <c r="D75" s="709"/>
      <c r="E75" s="709"/>
      <c r="F75" s="709"/>
      <c r="G75" s="709"/>
      <c r="H75" s="709"/>
      <c r="I75" s="709"/>
      <c r="J75" s="709"/>
      <c r="K75" s="709"/>
      <c r="L75" s="709"/>
      <c r="M75" s="709"/>
      <c r="N75" s="709"/>
      <c r="O75" s="709"/>
      <c r="P75" s="709"/>
      <c r="Q75" s="709"/>
      <c r="R75" s="710"/>
    </row>
    <row r="76" spans="3:18" x14ac:dyDescent="0.25">
      <c r="C76" s="732" t="s">
        <v>975</v>
      </c>
      <c r="D76" s="733"/>
      <c r="E76" s="733"/>
      <c r="F76" s="733"/>
      <c r="G76" s="733"/>
      <c r="H76" s="733"/>
      <c r="I76" s="733"/>
      <c r="J76" s="733"/>
      <c r="K76" s="733"/>
      <c r="L76" s="733"/>
      <c r="M76" s="733"/>
      <c r="N76" s="733"/>
      <c r="O76" s="733"/>
      <c r="P76" s="733"/>
      <c r="Q76" s="733"/>
      <c r="R76" s="734"/>
    </row>
    <row r="77" spans="3:18" x14ac:dyDescent="0.25">
      <c r="C77" s="732"/>
      <c r="D77" s="733"/>
      <c r="E77" s="733"/>
      <c r="F77" s="733"/>
      <c r="G77" s="733"/>
      <c r="H77" s="733"/>
      <c r="I77" s="733"/>
      <c r="J77" s="733"/>
      <c r="K77" s="733"/>
      <c r="L77" s="733"/>
      <c r="M77" s="733"/>
      <c r="N77" s="733"/>
      <c r="O77" s="733"/>
      <c r="P77" s="733"/>
      <c r="Q77" s="733"/>
      <c r="R77" s="734"/>
    </row>
    <row r="78" spans="3:18" ht="23.25" customHeight="1" x14ac:dyDescent="0.25">
      <c r="C78" s="723" t="s">
        <v>965</v>
      </c>
      <c r="D78" s="724"/>
      <c r="E78" s="724"/>
      <c r="F78" s="724"/>
      <c r="G78" s="724"/>
      <c r="H78" s="724"/>
      <c r="I78" s="724"/>
      <c r="J78" s="724"/>
      <c r="K78" s="724"/>
      <c r="L78" s="724"/>
      <c r="M78" s="724"/>
      <c r="N78" s="724"/>
      <c r="O78" s="724"/>
      <c r="P78" s="724"/>
      <c r="Q78" s="724"/>
      <c r="R78" s="725"/>
    </row>
    <row r="79" spans="3:18" x14ac:dyDescent="0.25">
      <c r="C79" s="723"/>
      <c r="D79" s="724"/>
      <c r="E79" s="724"/>
      <c r="F79" s="724"/>
      <c r="G79" s="724"/>
      <c r="H79" s="724"/>
      <c r="I79" s="724"/>
      <c r="J79" s="724"/>
      <c r="K79" s="724"/>
      <c r="L79" s="724"/>
      <c r="M79" s="724"/>
      <c r="N79" s="724"/>
      <c r="O79" s="724"/>
      <c r="P79" s="724"/>
      <c r="Q79" s="724"/>
      <c r="R79" s="725"/>
    </row>
    <row r="80" spans="3:18" ht="23.25" customHeight="1" x14ac:dyDescent="0.25">
      <c r="C80" s="723" t="s">
        <v>967</v>
      </c>
      <c r="D80" s="724"/>
      <c r="E80" s="724"/>
      <c r="F80" s="724"/>
      <c r="G80" s="724"/>
      <c r="H80" s="724"/>
      <c r="I80" s="724"/>
      <c r="J80" s="724"/>
      <c r="K80" s="724"/>
      <c r="L80" s="724"/>
      <c r="M80" s="724"/>
      <c r="N80" s="724"/>
      <c r="O80" s="724"/>
      <c r="P80" s="724"/>
      <c r="Q80" s="724"/>
      <c r="R80" s="725"/>
    </row>
    <row r="81" spans="3:18" ht="24" thickBot="1" x14ac:dyDescent="0.3">
      <c r="C81" s="745"/>
      <c r="D81" s="746"/>
      <c r="E81" s="746"/>
      <c r="F81" s="746"/>
      <c r="G81" s="746"/>
      <c r="H81" s="746"/>
      <c r="I81" s="746"/>
      <c r="J81" s="746"/>
      <c r="K81" s="746"/>
      <c r="L81" s="746"/>
      <c r="M81" s="746"/>
      <c r="N81" s="746"/>
      <c r="O81" s="746"/>
      <c r="P81" s="746"/>
      <c r="Q81" s="746"/>
      <c r="R81" s="747"/>
    </row>
    <row r="82" spans="3:18" ht="24" thickBot="1" x14ac:dyDescent="0.3">
      <c r="C82" s="726" t="s">
        <v>950</v>
      </c>
      <c r="D82" s="727"/>
      <c r="E82" s="727"/>
      <c r="F82" s="727"/>
      <c r="G82" s="727"/>
      <c r="H82" s="727"/>
      <c r="I82" s="727"/>
      <c r="J82" s="727"/>
      <c r="K82" s="727"/>
      <c r="L82" s="727"/>
      <c r="M82" s="727"/>
      <c r="N82" s="727"/>
      <c r="O82" s="727"/>
      <c r="P82" s="727"/>
      <c r="Q82" s="727"/>
      <c r="R82" s="728"/>
    </row>
    <row r="83" spans="3:18" ht="23.25" customHeight="1" x14ac:dyDescent="0.25">
      <c r="C83" s="708" t="s">
        <v>968</v>
      </c>
      <c r="D83" s="709"/>
      <c r="E83" s="709"/>
      <c r="F83" s="709"/>
      <c r="G83" s="709"/>
      <c r="H83" s="709"/>
      <c r="I83" s="709"/>
      <c r="J83" s="709"/>
      <c r="K83" s="709"/>
      <c r="L83" s="709"/>
      <c r="M83" s="709"/>
      <c r="N83" s="709"/>
      <c r="O83" s="709"/>
      <c r="P83" s="709"/>
      <c r="Q83" s="709"/>
      <c r="R83" s="710"/>
    </row>
    <row r="84" spans="3:18" x14ac:dyDescent="0.25">
      <c r="C84" s="708"/>
      <c r="D84" s="709"/>
      <c r="E84" s="709"/>
      <c r="F84" s="709"/>
      <c r="G84" s="709"/>
      <c r="H84" s="709"/>
      <c r="I84" s="709"/>
      <c r="J84" s="709"/>
      <c r="K84" s="709"/>
      <c r="L84" s="709"/>
      <c r="M84" s="709"/>
      <c r="N84" s="709"/>
      <c r="O84" s="709"/>
      <c r="P84" s="709"/>
      <c r="Q84" s="709"/>
      <c r="R84" s="710"/>
    </row>
    <row r="85" spans="3:18" ht="23.25" customHeight="1" x14ac:dyDescent="0.25">
      <c r="C85" s="708" t="s">
        <v>969</v>
      </c>
      <c r="D85" s="709"/>
      <c r="E85" s="709"/>
      <c r="F85" s="709"/>
      <c r="G85" s="709"/>
      <c r="H85" s="709"/>
      <c r="I85" s="709"/>
      <c r="J85" s="709"/>
      <c r="K85" s="709"/>
      <c r="L85" s="709"/>
      <c r="M85" s="709"/>
      <c r="N85" s="709"/>
      <c r="O85" s="709"/>
      <c r="P85" s="709"/>
      <c r="Q85" s="709"/>
      <c r="R85" s="710"/>
    </row>
    <row r="86" spans="3:18" x14ac:dyDescent="0.25">
      <c r="C86" s="708"/>
      <c r="D86" s="709"/>
      <c r="E86" s="709"/>
      <c r="F86" s="709"/>
      <c r="G86" s="709"/>
      <c r="H86" s="709"/>
      <c r="I86" s="709"/>
      <c r="J86" s="709"/>
      <c r="K86" s="709"/>
      <c r="L86" s="709"/>
      <c r="M86" s="709"/>
      <c r="N86" s="709"/>
      <c r="O86" s="709"/>
      <c r="P86" s="709"/>
      <c r="Q86" s="709"/>
      <c r="R86" s="710"/>
    </row>
    <row r="87" spans="3:18" ht="23.25" customHeight="1" x14ac:dyDescent="0.25">
      <c r="C87" s="708" t="s">
        <v>970</v>
      </c>
      <c r="D87" s="709"/>
      <c r="E87" s="709"/>
      <c r="F87" s="709"/>
      <c r="G87" s="709"/>
      <c r="H87" s="709"/>
      <c r="I87" s="709"/>
      <c r="J87" s="709"/>
      <c r="K87" s="709"/>
      <c r="L87" s="709"/>
      <c r="M87" s="709"/>
      <c r="N87" s="709"/>
      <c r="O87" s="709"/>
      <c r="P87" s="709"/>
      <c r="Q87" s="709"/>
      <c r="R87" s="710"/>
    </row>
    <row r="88" spans="3:18" x14ac:dyDescent="0.25">
      <c r="C88" s="708"/>
      <c r="D88" s="709"/>
      <c r="E88" s="709"/>
      <c r="F88" s="709"/>
      <c r="G88" s="709"/>
      <c r="H88" s="709"/>
      <c r="I88" s="709"/>
      <c r="J88" s="709"/>
      <c r="K88" s="709"/>
      <c r="L88" s="709"/>
      <c r="M88" s="709"/>
      <c r="N88" s="709"/>
      <c r="O88" s="709"/>
      <c r="P88" s="709"/>
      <c r="Q88" s="709"/>
      <c r="R88" s="710"/>
    </row>
    <row r="89" spans="3:18" x14ac:dyDescent="0.25">
      <c r="C89" s="708"/>
      <c r="D89" s="709"/>
      <c r="E89" s="709"/>
      <c r="F89" s="709"/>
      <c r="G89" s="709"/>
      <c r="H89" s="709"/>
      <c r="I89" s="709"/>
      <c r="J89" s="709"/>
      <c r="K89" s="709"/>
      <c r="L89" s="709"/>
      <c r="M89" s="709"/>
      <c r="N89" s="709"/>
      <c r="O89" s="709"/>
      <c r="P89" s="709"/>
      <c r="Q89" s="709"/>
      <c r="R89" s="710"/>
    </row>
    <row r="90" spans="3:18" ht="23.25" customHeight="1" x14ac:dyDescent="0.25">
      <c r="C90" s="708" t="s">
        <v>972</v>
      </c>
      <c r="D90" s="709"/>
      <c r="E90" s="709"/>
      <c r="F90" s="709"/>
      <c r="G90" s="709"/>
      <c r="H90" s="709"/>
      <c r="I90" s="709"/>
      <c r="J90" s="709"/>
      <c r="K90" s="709"/>
      <c r="L90" s="709"/>
      <c r="M90" s="709"/>
      <c r="N90" s="709"/>
      <c r="O90" s="709"/>
      <c r="P90" s="709"/>
      <c r="Q90" s="709"/>
      <c r="R90" s="710"/>
    </row>
    <row r="91" spans="3:18" x14ac:dyDescent="0.25">
      <c r="C91" s="708"/>
      <c r="D91" s="709"/>
      <c r="E91" s="709"/>
      <c r="F91" s="709"/>
      <c r="G91" s="709"/>
      <c r="H91" s="709"/>
      <c r="I91" s="709"/>
      <c r="J91" s="709"/>
      <c r="K91" s="709"/>
      <c r="L91" s="709"/>
      <c r="M91" s="709"/>
      <c r="N91" s="709"/>
      <c r="O91" s="709"/>
      <c r="P91" s="709"/>
      <c r="Q91" s="709"/>
      <c r="R91" s="710"/>
    </row>
    <row r="92" spans="3:18" ht="23.25" customHeight="1" x14ac:dyDescent="0.25">
      <c r="C92" s="708" t="s">
        <v>973</v>
      </c>
      <c r="D92" s="709"/>
      <c r="E92" s="709"/>
      <c r="F92" s="709"/>
      <c r="G92" s="709"/>
      <c r="H92" s="709"/>
      <c r="I92" s="709"/>
      <c r="J92" s="709"/>
      <c r="K92" s="709"/>
      <c r="L92" s="709"/>
      <c r="M92" s="709"/>
      <c r="N92" s="709"/>
      <c r="O92" s="709"/>
      <c r="P92" s="709"/>
      <c r="Q92" s="709"/>
      <c r="R92" s="710"/>
    </row>
    <row r="93" spans="3:18" x14ac:dyDescent="0.25">
      <c r="C93" s="708"/>
      <c r="D93" s="709"/>
      <c r="E93" s="709"/>
      <c r="F93" s="709"/>
      <c r="G93" s="709"/>
      <c r="H93" s="709"/>
      <c r="I93" s="709"/>
      <c r="J93" s="709"/>
      <c r="K93" s="709"/>
      <c r="L93" s="709"/>
      <c r="M93" s="709"/>
      <c r="N93" s="709"/>
      <c r="O93" s="709"/>
      <c r="P93" s="709"/>
      <c r="Q93" s="709"/>
      <c r="R93" s="710"/>
    </row>
    <row r="94" spans="3:18" ht="23.25" customHeight="1" x14ac:dyDescent="0.25">
      <c r="C94" s="732" t="s">
        <v>971</v>
      </c>
      <c r="D94" s="733"/>
      <c r="E94" s="733"/>
      <c r="F94" s="733"/>
      <c r="G94" s="733"/>
      <c r="H94" s="733"/>
      <c r="I94" s="733"/>
      <c r="J94" s="733"/>
      <c r="K94" s="733"/>
      <c r="L94" s="733"/>
      <c r="M94" s="733"/>
      <c r="N94" s="733"/>
      <c r="O94" s="733"/>
      <c r="P94" s="733"/>
      <c r="Q94" s="733"/>
      <c r="R94" s="734"/>
    </row>
    <row r="95" spans="3:18" ht="24" thickBot="1" x14ac:dyDescent="0.3">
      <c r="C95" s="738"/>
      <c r="D95" s="739"/>
      <c r="E95" s="739"/>
      <c r="F95" s="739"/>
      <c r="G95" s="739"/>
      <c r="H95" s="739"/>
      <c r="I95" s="739"/>
      <c r="J95" s="739"/>
      <c r="K95" s="739"/>
      <c r="L95" s="739"/>
      <c r="M95" s="739"/>
      <c r="N95" s="739"/>
      <c r="O95" s="739"/>
      <c r="P95" s="739"/>
      <c r="Q95" s="739"/>
      <c r="R95" s="740"/>
    </row>
    <row r="96" spans="3:18" ht="24" thickBot="1" x14ac:dyDescent="0.3">
      <c r="C96" s="726" t="s">
        <v>951</v>
      </c>
      <c r="D96" s="727"/>
      <c r="E96" s="727"/>
      <c r="F96" s="727"/>
      <c r="G96" s="727"/>
      <c r="H96" s="727"/>
      <c r="I96" s="727"/>
      <c r="J96" s="727"/>
      <c r="K96" s="727"/>
      <c r="L96" s="727"/>
      <c r="M96" s="727"/>
      <c r="N96" s="727"/>
      <c r="O96" s="727"/>
      <c r="P96" s="727"/>
      <c r="Q96" s="727"/>
      <c r="R96" s="728"/>
    </row>
    <row r="97" spans="3:20" x14ac:dyDescent="0.25">
      <c r="C97" s="735" t="s">
        <v>976</v>
      </c>
      <c r="D97" s="736"/>
      <c r="E97" s="736"/>
      <c r="F97" s="736"/>
      <c r="G97" s="736"/>
      <c r="H97" s="736"/>
      <c r="I97" s="736"/>
      <c r="J97" s="736"/>
      <c r="K97" s="736"/>
      <c r="L97" s="736"/>
      <c r="M97" s="736"/>
      <c r="N97" s="736"/>
      <c r="O97" s="736"/>
      <c r="P97" s="736"/>
      <c r="Q97" s="736"/>
      <c r="R97" s="737"/>
    </row>
    <row r="98" spans="3:20" x14ac:dyDescent="0.25">
      <c r="C98" s="708"/>
      <c r="D98" s="709"/>
      <c r="E98" s="709"/>
      <c r="F98" s="709"/>
      <c r="G98" s="709"/>
      <c r="H98" s="709"/>
      <c r="I98" s="709"/>
      <c r="J98" s="709"/>
      <c r="K98" s="709"/>
      <c r="L98" s="709"/>
      <c r="M98" s="709"/>
      <c r="N98" s="709"/>
      <c r="O98" s="709"/>
      <c r="P98" s="709"/>
      <c r="Q98" s="709"/>
      <c r="R98" s="710"/>
    </row>
    <row r="99" spans="3:20" x14ac:dyDescent="0.25">
      <c r="C99" s="708" t="s">
        <v>977</v>
      </c>
      <c r="D99" s="709"/>
      <c r="E99" s="709"/>
      <c r="F99" s="709"/>
      <c r="G99" s="709"/>
      <c r="H99" s="709"/>
      <c r="I99" s="709"/>
      <c r="J99" s="709"/>
      <c r="K99" s="709"/>
      <c r="L99" s="709"/>
      <c r="M99" s="709"/>
      <c r="N99" s="709"/>
      <c r="O99" s="709"/>
      <c r="P99" s="709"/>
      <c r="Q99" s="709"/>
      <c r="R99" s="710"/>
    </row>
    <row r="100" spans="3:20" x14ac:dyDescent="0.25">
      <c r="C100" s="708"/>
      <c r="D100" s="709"/>
      <c r="E100" s="709"/>
      <c r="F100" s="709"/>
      <c r="G100" s="709"/>
      <c r="H100" s="709"/>
      <c r="I100" s="709"/>
      <c r="J100" s="709"/>
      <c r="K100" s="709"/>
      <c r="L100" s="709"/>
      <c r="M100" s="709"/>
      <c r="N100" s="709"/>
      <c r="O100" s="709"/>
      <c r="P100" s="709"/>
      <c r="Q100" s="709"/>
      <c r="R100" s="710"/>
    </row>
    <row r="101" spans="3:20" ht="23.25" customHeight="1" x14ac:dyDescent="0.25">
      <c r="C101" s="732" t="s">
        <v>1019</v>
      </c>
      <c r="D101" s="733"/>
      <c r="E101" s="733"/>
      <c r="F101" s="733"/>
      <c r="G101" s="733"/>
      <c r="H101" s="733"/>
      <c r="I101" s="733"/>
      <c r="J101" s="733"/>
      <c r="K101" s="733"/>
      <c r="L101" s="733"/>
      <c r="M101" s="733"/>
      <c r="N101" s="733"/>
      <c r="O101" s="733"/>
      <c r="P101" s="733"/>
      <c r="Q101" s="733"/>
      <c r="R101" s="734"/>
    </row>
    <row r="102" spans="3:20" x14ac:dyDescent="0.25">
      <c r="C102" s="732"/>
      <c r="D102" s="733"/>
      <c r="E102" s="733"/>
      <c r="F102" s="733"/>
      <c r="G102" s="733"/>
      <c r="H102" s="733"/>
      <c r="I102" s="733"/>
      <c r="J102" s="733"/>
      <c r="K102" s="733"/>
      <c r="L102" s="733"/>
      <c r="M102" s="733"/>
      <c r="N102" s="733"/>
      <c r="O102" s="733"/>
      <c r="P102" s="733"/>
      <c r="Q102" s="733"/>
      <c r="R102" s="734"/>
    </row>
    <row r="103" spans="3:20" x14ac:dyDescent="0.25">
      <c r="C103" s="732"/>
      <c r="D103" s="733"/>
      <c r="E103" s="733"/>
      <c r="F103" s="733"/>
      <c r="G103" s="733"/>
      <c r="H103" s="733"/>
      <c r="I103" s="733"/>
      <c r="J103" s="733"/>
      <c r="K103" s="733"/>
      <c r="L103" s="733"/>
      <c r="M103" s="733"/>
      <c r="N103" s="733"/>
      <c r="O103" s="733"/>
      <c r="P103" s="733"/>
      <c r="Q103" s="733"/>
      <c r="R103" s="734"/>
    </row>
    <row r="104" spans="3:20" x14ac:dyDescent="0.25">
      <c r="C104" s="729" t="s">
        <v>1020</v>
      </c>
      <c r="D104" s="730"/>
      <c r="E104" s="730"/>
      <c r="F104" s="730"/>
      <c r="G104" s="730"/>
      <c r="H104" s="730"/>
      <c r="I104" s="730"/>
      <c r="J104" s="730"/>
      <c r="K104" s="730"/>
      <c r="L104" s="730"/>
      <c r="M104" s="730"/>
      <c r="N104" s="730"/>
      <c r="O104" s="730"/>
      <c r="P104" s="730"/>
      <c r="Q104" s="730"/>
      <c r="R104" s="731"/>
      <c r="T104" s="579"/>
    </row>
    <row r="105" spans="3:20" ht="46.5" customHeight="1" x14ac:dyDescent="0.25">
      <c r="C105" s="708" t="s">
        <v>1021</v>
      </c>
      <c r="D105" s="709"/>
      <c r="E105" s="709"/>
      <c r="F105" s="709"/>
      <c r="G105" s="709"/>
      <c r="H105" s="709"/>
      <c r="I105" s="709"/>
      <c r="J105" s="709"/>
      <c r="K105" s="709"/>
      <c r="L105" s="709"/>
      <c r="M105" s="709"/>
      <c r="N105" s="709"/>
      <c r="O105" s="709"/>
      <c r="P105" s="709"/>
      <c r="Q105" s="709"/>
      <c r="R105" s="710"/>
      <c r="T105" s="579"/>
    </row>
    <row r="106" spans="3:20" ht="46.5" customHeight="1" x14ac:dyDescent="0.25">
      <c r="C106" s="708" t="s">
        <v>1022</v>
      </c>
      <c r="D106" s="709"/>
      <c r="E106" s="709"/>
      <c r="F106" s="709"/>
      <c r="G106" s="709"/>
      <c r="H106" s="709"/>
      <c r="I106" s="709"/>
      <c r="J106" s="709"/>
      <c r="K106" s="709"/>
      <c r="L106" s="709"/>
      <c r="M106" s="709"/>
      <c r="N106" s="709"/>
      <c r="O106" s="709"/>
      <c r="P106" s="709"/>
      <c r="Q106" s="709"/>
      <c r="R106" s="710"/>
      <c r="T106" s="579"/>
    </row>
    <row r="107" spans="3:20" ht="68.25" customHeight="1" x14ac:dyDescent="0.25">
      <c r="C107" s="708" t="s">
        <v>1023</v>
      </c>
      <c r="D107" s="709"/>
      <c r="E107" s="709"/>
      <c r="F107" s="709"/>
      <c r="G107" s="709"/>
      <c r="H107" s="709"/>
      <c r="I107" s="709"/>
      <c r="J107" s="709"/>
      <c r="K107" s="709"/>
      <c r="L107" s="709"/>
      <c r="M107" s="709"/>
      <c r="N107" s="709"/>
      <c r="O107" s="709"/>
      <c r="P107" s="709"/>
      <c r="Q107" s="709"/>
      <c r="R107" s="710"/>
      <c r="T107" s="579"/>
    </row>
    <row r="108" spans="3:20" ht="46.5" customHeight="1" x14ac:dyDescent="0.25">
      <c r="C108" s="708" t="s">
        <v>1024</v>
      </c>
      <c r="D108" s="709"/>
      <c r="E108" s="709"/>
      <c r="F108" s="709"/>
      <c r="G108" s="709"/>
      <c r="H108" s="709"/>
      <c r="I108" s="709"/>
      <c r="J108" s="709"/>
      <c r="K108" s="709"/>
      <c r="L108" s="709"/>
      <c r="M108" s="709"/>
      <c r="N108" s="709"/>
      <c r="O108" s="709"/>
      <c r="P108" s="709"/>
      <c r="Q108" s="709"/>
      <c r="R108" s="710"/>
      <c r="T108"/>
    </row>
    <row r="109" spans="3:20" ht="46.5" customHeight="1" x14ac:dyDescent="0.25">
      <c r="C109" s="708" t="s">
        <v>1025</v>
      </c>
      <c r="D109" s="709"/>
      <c r="E109" s="709"/>
      <c r="F109" s="709"/>
      <c r="G109" s="709"/>
      <c r="H109" s="709"/>
      <c r="I109" s="709"/>
      <c r="J109" s="709"/>
      <c r="K109" s="709"/>
      <c r="L109" s="709"/>
      <c r="M109" s="709"/>
      <c r="N109" s="709"/>
      <c r="O109" s="709"/>
      <c r="P109" s="709"/>
      <c r="Q109" s="709"/>
      <c r="R109" s="710"/>
      <c r="T109"/>
    </row>
    <row r="110" spans="3:20" ht="23.25" customHeight="1" x14ac:dyDescent="0.25">
      <c r="C110" s="708" t="s">
        <v>978</v>
      </c>
      <c r="D110" s="709"/>
      <c r="E110" s="709"/>
      <c r="F110" s="709"/>
      <c r="G110" s="709"/>
      <c r="H110" s="709"/>
      <c r="I110" s="709"/>
      <c r="J110" s="709"/>
      <c r="K110" s="709"/>
      <c r="L110" s="709"/>
      <c r="M110" s="709"/>
      <c r="N110" s="709"/>
      <c r="O110" s="709"/>
      <c r="P110" s="709"/>
      <c r="Q110" s="709"/>
      <c r="R110" s="710"/>
    </row>
    <row r="111" spans="3:20" x14ac:dyDescent="0.25">
      <c r="C111" s="708"/>
      <c r="D111" s="709"/>
      <c r="E111" s="709"/>
      <c r="F111" s="709"/>
      <c r="G111" s="709"/>
      <c r="H111" s="709"/>
      <c r="I111" s="709"/>
      <c r="J111" s="709"/>
      <c r="K111" s="709"/>
      <c r="L111" s="709"/>
      <c r="M111" s="709"/>
      <c r="N111" s="709"/>
      <c r="O111" s="709"/>
      <c r="P111" s="709"/>
      <c r="Q111" s="709"/>
      <c r="R111" s="710"/>
    </row>
    <row r="112" spans="3:20" x14ac:dyDescent="0.25">
      <c r="C112" s="708"/>
      <c r="D112" s="709"/>
      <c r="E112" s="709"/>
      <c r="F112" s="709"/>
      <c r="G112" s="709"/>
      <c r="H112" s="709"/>
      <c r="I112" s="709"/>
      <c r="J112" s="709"/>
      <c r="K112" s="709"/>
      <c r="L112" s="709"/>
      <c r="M112" s="709"/>
      <c r="N112" s="709"/>
      <c r="O112" s="709"/>
      <c r="P112" s="709"/>
      <c r="Q112" s="709"/>
      <c r="R112" s="710"/>
    </row>
    <row r="113" spans="3:20" x14ac:dyDescent="0.25">
      <c r="C113" s="708"/>
      <c r="D113" s="709"/>
      <c r="E113" s="709"/>
      <c r="F113" s="709"/>
      <c r="G113" s="709"/>
      <c r="H113" s="709"/>
      <c r="I113" s="709"/>
      <c r="J113" s="709"/>
      <c r="K113" s="709"/>
      <c r="L113" s="709"/>
      <c r="M113" s="709"/>
      <c r="N113" s="709"/>
      <c r="O113" s="709"/>
      <c r="P113" s="709"/>
      <c r="Q113" s="709"/>
      <c r="R113" s="710"/>
    </row>
    <row r="114" spans="3:20" ht="24" thickBot="1" x14ac:dyDescent="0.3">
      <c r="C114" s="711"/>
      <c r="D114" s="712"/>
      <c r="E114" s="712"/>
      <c r="F114" s="712"/>
      <c r="G114" s="712"/>
      <c r="H114" s="712"/>
      <c r="I114" s="712"/>
      <c r="J114" s="712"/>
      <c r="K114" s="712"/>
      <c r="L114" s="712"/>
      <c r="M114" s="712"/>
      <c r="N114" s="712"/>
      <c r="O114" s="712"/>
      <c r="P114" s="712"/>
      <c r="Q114" s="712"/>
      <c r="R114" s="713"/>
    </row>
    <row r="115" spans="3:20" ht="24" thickBot="1" x14ac:dyDescent="0.3">
      <c r="C115" s="726" t="s">
        <v>952</v>
      </c>
      <c r="D115" s="727"/>
      <c r="E115" s="727"/>
      <c r="F115" s="727"/>
      <c r="G115" s="727"/>
      <c r="H115" s="727"/>
      <c r="I115" s="727"/>
      <c r="J115" s="727"/>
      <c r="K115" s="727"/>
      <c r="L115" s="727"/>
      <c r="M115" s="727"/>
      <c r="N115" s="727"/>
      <c r="O115" s="727"/>
      <c r="P115" s="727"/>
      <c r="Q115" s="727"/>
      <c r="R115" s="728"/>
    </row>
    <row r="116" spans="3:20" x14ac:dyDescent="0.25">
      <c r="C116" s="723" t="s">
        <v>979</v>
      </c>
      <c r="D116" s="724"/>
      <c r="E116" s="724"/>
      <c r="F116" s="724"/>
      <c r="G116" s="724"/>
      <c r="H116" s="724"/>
      <c r="I116" s="724"/>
      <c r="J116" s="724"/>
      <c r="K116" s="724"/>
      <c r="L116" s="724"/>
      <c r="M116" s="724"/>
      <c r="N116" s="724"/>
      <c r="O116" s="724"/>
      <c r="P116" s="724"/>
      <c r="Q116" s="724"/>
      <c r="R116" s="725"/>
    </row>
    <row r="117" spans="3:20" x14ac:dyDescent="0.25">
      <c r="C117" s="708" t="s">
        <v>980</v>
      </c>
      <c r="D117" s="709"/>
      <c r="E117" s="709"/>
      <c r="F117" s="709"/>
      <c r="G117" s="709"/>
      <c r="H117" s="709"/>
      <c r="I117" s="709"/>
      <c r="J117" s="709"/>
      <c r="K117" s="709"/>
      <c r="L117" s="709"/>
      <c r="M117" s="709"/>
      <c r="N117" s="709"/>
      <c r="O117" s="709"/>
      <c r="P117" s="709"/>
      <c r="Q117" s="709"/>
      <c r="R117" s="710"/>
    </row>
    <row r="118" spans="3:20" x14ac:dyDescent="0.25">
      <c r="C118" s="708"/>
      <c r="D118" s="709"/>
      <c r="E118" s="709"/>
      <c r="F118" s="709"/>
      <c r="G118" s="709"/>
      <c r="H118" s="709"/>
      <c r="I118" s="709"/>
      <c r="J118" s="709"/>
      <c r="K118" s="709"/>
      <c r="L118" s="709"/>
      <c r="M118" s="709"/>
      <c r="N118" s="709"/>
      <c r="O118" s="709"/>
      <c r="P118" s="709"/>
      <c r="Q118" s="709"/>
      <c r="R118" s="710"/>
    </row>
    <row r="119" spans="3:20" ht="24" thickBot="1" x14ac:dyDescent="0.3">
      <c r="C119" s="711"/>
      <c r="D119" s="712"/>
      <c r="E119" s="712"/>
      <c r="F119" s="712"/>
      <c r="G119" s="712"/>
      <c r="H119" s="712"/>
      <c r="I119" s="712"/>
      <c r="J119" s="712"/>
      <c r="K119" s="712"/>
      <c r="L119" s="712"/>
      <c r="M119" s="712"/>
      <c r="N119" s="712"/>
      <c r="O119" s="712"/>
      <c r="P119" s="712"/>
      <c r="Q119" s="712"/>
      <c r="R119" s="713"/>
    </row>
    <row r="120" spans="3:20" ht="24" thickBot="1" x14ac:dyDescent="0.3">
      <c r="C120" s="726" t="s">
        <v>953</v>
      </c>
      <c r="D120" s="727"/>
      <c r="E120" s="727"/>
      <c r="F120" s="727"/>
      <c r="G120" s="727"/>
      <c r="H120" s="727"/>
      <c r="I120" s="727"/>
      <c r="J120" s="727"/>
      <c r="K120" s="727"/>
      <c r="L120" s="727"/>
      <c r="M120" s="727"/>
      <c r="N120" s="727"/>
      <c r="O120" s="727"/>
      <c r="P120" s="727"/>
      <c r="Q120" s="727"/>
      <c r="R120" s="728"/>
    </row>
    <row r="121" spans="3:20" ht="23.25" customHeight="1" x14ac:dyDescent="0.25">
      <c r="C121" s="735" t="s">
        <v>981</v>
      </c>
      <c r="D121" s="736"/>
      <c r="E121" s="736"/>
      <c r="F121" s="736"/>
      <c r="G121" s="736"/>
      <c r="H121" s="736"/>
      <c r="I121" s="736"/>
      <c r="J121" s="736"/>
      <c r="K121" s="736"/>
      <c r="L121" s="736"/>
      <c r="M121" s="736"/>
      <c r="N121" s="736"/>
      <c r="O121" s="736"/>
      <c r="P121" s="736"/>
      <c r="Q121" s="736"/>
      <c r="R121" s="737"/>
      <c r="T121"/>
    </row>
    <row r="122" spans="3:20" x14ac:dyDescent="0.25">
      <c r="C122" s="708"/>
      <c r="D122" s="709"/>
      <c r="E122" s="709"/>
      <c r="F122" s="709"/>
      <c r="G122" s="709"/>
      <c r="H122" s="709"/>
      <c r="I122" s="709"/>
      <c r="J122" s="709"/>
      <c r="K122" s="709"/>
      <c r="L122" s="709"/>
      <c r="M122" s="709"/>
      <c r="N122" s="709"/>
      <c r="O122" s="709"/>
      <c r="P122" s="709"/>
      <c r="Q122" s="709"/>
      <c r="R122" s="710"/>
    </row>
    <row r="123" spans="3:20" x14ac:dyDescent="0.25">
      <c r="C123" s="708"/>
      <c r="D123" s="709"/>
      <c r="E123" s="709"/>
      <c r="F123" s="709"/>
      <c r="G123" s="709"/>
      <c r="H123" s="709"/>
      <c r="I123" s="709"/>
      <c r="J123" s="709"/>
      <c r="K123" s="709"/>
      <c r="L123" s="709"/>
      <c r="M123" s="709"/>
      <c r="N123" s="709"/>
      <c r="O123" s="709"/>
      <c r="P123" s="709"/>
      <c r="Q123" s="709"/>
      <c r="R123" s="710"/>
    </row>
    <row r="124" spans="3:20" x14ac:dyDescent="0.25">
      <c r="C124" s="708" t="s">
        <v>982</v>
      </c>
      <c r="D124" s="709"/>
      <c r="E124" s="709"/>
      <c r="F124" s="709"/>
      <c r="G124" s="709"/>
      <c r="H124" s="709"/>
      <c r="I124" s="709"/>
      <c r="J124" s="709"/>
      <c r="K124" s="709"/>
      <c r="L124" s="709"/>
      <c r="M124" s="709"/>
      <c r="N124" s="709"/>
      <c r="O124" s="709"/>
      <c r="P124" s="709"/>
      <c r="Q124" s="709"/>
      <c r="R124" s="534"/>
    </row>
    <row r="125" spans="3:20" x14ac:dyDescent="0.25">
      <c r="C125" s="708"/>
      <c r="D125" s="709"/>
      <c r="E125" s="709"/>
      <c r="F125" s="709"/>
      <c r="G125" s="709"/>
      <c r="H125" s="709"/>
      <c r="I125" s="709"/>
      <c r="J125" s="709"/>
      <c r="K125" s="709"/>
      <c r="L125" s="709"/>
      <c r="M125" s="709"/>
      <c r="N125" s="709"/>
      <c r="O125" s="709"/>
      <c r="P125" s="709"/>
      <c r="Q125" s="709"/>
      <c r="R125" s="534"/>
    </row>
    <row r="126" spans="3:20" x14ac:dyDescent="0.25">
      <c r="C126" s="708"/>
      <c r="D126" s="709"/>
      <c r="E126" s="709"/>
      <c r="F126" s="709"/>
      <c r="G126" s="709"/>
      <c r="H126" s="709"/>
      <c r="I126" s="709"/>
      <c r="J126" s="709"/>
      <c r="K126" s="709"/>
      <c r="L126" s="709"/>
      <c r="M126" s="709"/>
      <c r="N126" s="709"/>
      <c r="O126" s="709"/>
      <c r="P126" s="709"/>
      <c r="Q126" s="709"/>
      <c r="R126" s="534"/>
    </row>
    <row r="127" spans="3:20" x14ac:dyDescent="0.25">
      <c r="C127" s="708" t="s">
        <v>983</v>
      </c>
      <c r="D127" s="709"/>
      <c r="E127" s="709"/>
      <c r="F127" s="709"/>
      <c r="G127" s="709"/>
      <c r="H127" s="709"/>
      <c r="I127" s="709"/>
      <c r="J127" s="709"/>
      <c r="K127" s="709"/>
      <c r="L127" s="709"/>
      <c r="M127" s="709"/>
      <c r="N127" s="709"/>
      <c r="O127" s="709"/>
      <c r="P127" s="709"/>
      <c r="Q127" s="709"/>
      <c r="R127" s="710"/>
    </row>
    <row r="128" spans="3:20" x14ac:dyDescent="0.25">
      <c r="C128" s="708"/>
      <c r="D128" s="709"/>
      <c r="E128" s="709"/>
      <c r="F128" s="709"/>
      <c r="G128" s="709"/>
      <c r="H128" s="709"/>
      <c r="I128" s="709"/>
      <c r="J128" s="709"/>
      <c r="K128" s="709"/>
      <c r="L128" s="709"/>
      <c r="M128" s="709"/>
      <c r="N128" s="709"/>
      <c r="O128" s="709"/>
      <c r="P128" s="709"/>
      <c r="Q128" s="709"/>
      <c r="R128" s="710"/>
    </row>
    <row r="129" spans="3:20" ht="23.25" customHeight="1" x14ac:dyDescent="0.25">
      <c r="C129" s="708" t="s">
        <v>984</v>
      </c>
      <c r="D129" s="709"/>
      <c r="E129" s="709"/>
      <c r="F129" s="709"/>
      <c r="G129" s="709"/>
      <c r="H129" s="709"/>
      <c r="I129" s="709"/>
      <c r="J129" s="709"/>
      <c r="K129" s="709"/>
      <c r="L129" s="709"/>
      <c r="M129" s="709"/>
      <c r="N129" s="709"/>
      <c r="O129" s="709"/>
      <c r="P129" s="709"/>
      <c r="Q129" s="709"/>
      <c r="R129" s="710"/>
    </row>
    <row r="130" spans="3:20" x14ac:dyDescent="0.25">
      <c r="C130" s="708"/>
      <c r="D130" s="709"/>
      <c r="E130" s="709"/>
      <c r="F130" s="709"/>
      <c r="G130" s="709"/>
      <c r="H130" s="709"/>
      <c r="I130" s="709"/>
      <c r="J130" s="709"/>
      <c r="K130" s="709"/>
      <c r="L130" s="709"/>
      <c r="M130" s="709"/>
      <c r="N130" s="709"/>
      <c r="O130" s="709"/>
      <c r="P130" s="709"/>
      <c r="Q130" s="709"/>
      <c r="R130" s="710"/>
    </row>
    <row r="131" spans="3:20" ht="23.25" customHeight="1" x14ac:dyDescent="0.25">
      <c r="C131" s="708" t="s">
        <v>985</v>
      </c>
      <c r="D131" s="709"/>
      <c r="E131" s="709"/>
      <c r="F131" s="709"/>
      <c r="G131" s="709"/>
      <c r="H131" s="709"/>
      <c r="I131" s="709"/>
      <c r="J131" s="709"/>
      <c r="K131" s="709"/>
      <c r="L131" s="709"/>
      <c r="M131" s="709"/>
      <c r="N131" s="709"/>
      <c r="O131" s="709"/>
      <c r="P131" s="709"/>
      <c r="Q131" s="709"/>
      <c r="R131" s="710"/>
    </row>
    <row r="132" spans="3:20" x14ac:dyDescent="0.25">
      <c r="C132" s="708"/>
      <c r="D132" s="709"/>
      <c r="E132" s="709"/>
      <c r="F132" s="709"/>
      <c r="G132" s="709"/>
      <c r="H132" s="709"/>
      <c r="I132" s="709"/>
      <c r="J132" s="709"/>
      <c r="K132" s="709"/>
      <c r="L132" s="709"/>
      <c r="M132" s="709"/>
      <c r="N132" s="709"/>
      <c r="O132" s="709"/>
      <c r="P132" s="709"/>
      <c r="Q132" s="709"/>
      <c r="R132" s="710"/>
    </row>
    <row r="133" spans="3:20" x14ac:dyDescent="0.25">
      <c r="C133" s="708"/>
      <c r="D133" s="709"/>
      <c r="E133" s="709"/>
      <c r="F133" s="709"/>
      <c r="G133" s="709"/>
      <c r="H133" s="709"/>
      <c r="I133" s="709"/>
      <c r="J133" s="709"/>
      <c r="K133" s="709"/>
      <c r="L133" s="709"/>
      <c r="M133" s="709"/>
      <c r="N133" s="709"/>
      <c r="O133" s="709"/>
      <c r="P133" s="709"/>
      <c r="Q133" s="709"/>
      <c r="R133" s="710"/>
    </row>
    <row r="134" spans="3:20" ht="23.25" customHeight="1" x14ac:dyDescent="0.25">
      <c r="C134" s="708" t="s">
        <v>986</v>
      </c>
      <c r="D134" s="709"/>
      <c r="E134" s="709"/>
      <c r="F134" s="709"/>
      <c r="G134" s="709"/>
      <c r="H134" s="709"/>
      <c r="I134" s="709"/>
      <c r="J134" s="709"/>
      <c r="K134" s="709"/>
      <c r="L134" s="709"/>
      <c r="M134" s="709"/>
      <c r="N134" s="709"/>
      <c r="O134" s="709"/>
      <c r="P134" s="709"/>
      <c r="Q134" s="709"/>
      <c r="R134" s="710"/>
    </row>
    <row r="135" spans="3:20" x14ac:dyDescent="0.25">
      <c r="C135" s="708"/>
      <c r="D135" s="709"/>
      <c r="E135" s="709"/>
      <c r="F135" s="709"/>
      <c r="G135" s="709"/>
      <c r="H135" s="709"/>
      <c r="I135" s="709"/>
      <c r="J135" s="709"/>
      <c r="K135" s="709"/>
      <c r="L135" s="709"/>
      <c r="M135" s="709"/>
      <c r="N135" s="709"/>
      <c r="O135" s="709"/>
      <c r="P135" s="709"/>
      <c r="Q135" s="709"/>
      <c r="R135" s="710"/>
    </row>
    <row r="136" spans="3:20" ht="23.25" customHeight="1" x14ac:dyDescent="0.25">
      <c r="C136" s="708" t="s">
        <v>987</v>
      </c>
      <c r="D136" s="709"/>
      <c r="E136" s="709"/>
      <c r="F136" s="709"/>
      <c r="G136" s="709"/>
      <c r="H136" s="709"/>
      <c r="I136" s="709"/>
      <c r="J136" s="709"/>
      <c r="K136" s="709"/>
      <c r="L136" s="709"/>
      <c r="M136" s="709"/>
      <c r="N136" s="709"/>
      <c r="O136" s="709"/>
      <c r="P136" s="709"/>
      <c r="Q136" s="709"/>
      <c r="R136" s="710"/>
    </row>
    <row r="137" spans="3:20" x14ac:dyDescent="0.25">
      <c r="C137" s="708"/>
      <c r="D137" s="709"/>
      <c r="E137" s="709"/>
      <c r="F137" s="709"/>
      <c r="G137" s="709"/>
      <c r="H137" s="709"/>
      <c r="I137" s="709"/>
      <c r="J137" s="709"/>
      <c r="K137" s="709"/>
      <c r="L137" s="709"/>
      <c r="M137" s="709"/>
      <c r="N137" s="709"/>
      <c r="O137" s="709"/>
      <c r="P137" s="709"/>
      <c r="Q137" s="709"/>
      <c r="R137" s="710"/>
    </row>
    <row r="138" spans="3:20" x14ac:dyDescent="0.25">
      <c r="C138" s="708"/>
      <c r="D138" s="709"/>
      <c r="E138" s="709"/>
      <c r="F138" s="709"/>
      <c r="G138" s="709"/>
      <c r="H138" s="709"/>
      <c r="I138" s="709"/>
      <c r="J138" s="709"/>
      <c r="K138" s="709"/>
      <c r="L138" s="709"/>
      <c r="M138" s="709"/>
      <c r="N138" s="709"/>
      <c r="O138" s="709"/>
      <c r="P138" s="709"/>
      <c r="Q138" s="709"/>
      <c r="R138" s="710"/>
    </row>
    <row r="139" spans="3:20" x14ac:dyDescent="0.25">
      <c r="C139" s="708" t="s">
        <v>988</v>
      </c>
      <c r="D139" s="709"/>
      <c r="E139" s="709"/>
      <c r="F139" s="709"/>
      <c r="G139" s="709"/>
      <c r="H139" s="709"/>
      <c r="I139" s="709"/>
      <c r="J139" s="709"/>
      <c r="K139" s="709"/>
      <c r="L139" s="709"/>
      <c r="M139" s="709"/>
      <c r="N139" s="709"/>
      <c r="O139" s="709"/>
      <c r="P139" s="709"/>
      <c r="Q139" s="709"/>
      <c r="R139" s="710"/>
    </row>
    <row r="140" spans="3:20" x14ac:dyDescent="0.25">
      <c r="C140" s="708"/>
      <c r="D140" s="709"/>
      <c r="E140" s="709"/>
      <c r="F140" s="709"/>
      <c r="G140" s="709"/>
      <c r="H140" s="709"/>
      <c r="I140" s="709"/>
      <c r="J140" s="709"/>
      <c r="K140" s="709"/>
      <c r="L140" s="709"/>
      <c r="M140" s="709"/>
      <c r="N140" s="709"/>
      <c r="O140" s="709"/>
      <c r="P140" s="709"/>
      <c r="Q140" s="709"/>
      <c r="R140" s="710"/>
    </row>
    <row r="141" spans="3:20" ht="23.25" customHeight="1" x14ac:dyDescent="0.25">
      <c r="C141" s="708" t="s">
        <v>989</v>
      </c>
      <c r="D141" s="709"/>
      <c r="E141" s="709"/>
      <c r="F141" s="709"/>
      <c r="G141" s="709"/>
      <c r="H141" s="709"/>
      <c r="I141" s="709"/>
      <c r="J141" s="709"/>
      <c r="K141" s="709"/>
      <c r="L141" s="709"/>
      <c r="M141" s="709"/>
      <c r="N141" s="709"/>
      <c r="O141" s="709"/>
      <c r="P141" s="709"/>
      <c r="Q141" s="709"/>
      <c r="R141" s="710"/>
      <c r="S141" s="284"/>
    </row>
    <row r="142" spans="3:20" x14ac:dyDescent="0.25">
      <c r="C142" s="708"/>
      <c r="D142" s="709"/>
      <c r="E142" s="709"/>
      <c r="F142" s="709"/>
      <c r="G142" s="709"/>
      <c r="H142" s="709"/>
      <c r="I142" s="709"/>
      <c r="J142" s="709"/>
      <c r="K142" s="709"/>
      <c r="L142" s="709"/>
      <c r="M142" s="709"/>
      <c r="N142" s="709"/>
      <c r="O142" s="709"/>
      <c r="P142" s="709"/>
      <c r="Q142" s="709"/>
      <c r="R142" s="710"/>
      <c r="S142" s="284"/>
    </row>
    <row r="143" spans="3:20" ht="23.25" customHeight="1" x14ac:dyDescent="0.25">
      <c r="C143" s="708" t="s">
        <v>990</v>
      </c>
      <c r="D143" s="709"/>
      <c r="E143" s="709"/>
      <c r="F143" s="709"/>
      <c r="G143" s="709"/>
      <c r="H143" s="709"/>
      <c r="I143" s="709"/>
      <c r="J143" s="709"/>
      <c r="K143" s="709"/>
      <c r="L143" s="709"/>
      <c r="M143" s="709"/>
      <c r="N143" s="709"/>
      <c r="O143" s="709"/>
      <c r="P143" s="709"/>
      <c r="Q143" s="709"/>
      <c r="R143" s="710"/>
      <c r="S143" s="284"/>
      <c r="T143" s="284"/>
    </row>
    <row r="144" spans="3:20" x14ac:dyDescent="0.25">
      <c r="C144" s="708"/>
      <c r="D144" s="709"/>
      <c r="E144" s="709"/>
      <c r="F144" s="709"/>
      <c r="G144" s="709"/>
      <c r="H144" s="709"/>
      <c r="I144" s="709"/>
      <c r="J144" s="709"/>
      <c r="K144" s="709"/>
      <c r="L144" s="709"/>
      <c r="M144" s="709"/>
      <c r="N144" s="709"/>
      <c r="O144" s="709"/>
      <c r="P144" s="709"/>
      <c r="Q144" s="709"/>
      <c r="R144" s="710"/>
      <c r="S144" s="284"/>
      <c r="T144" s="284"/>
    </row>
    <row r="145" spans="3:20" ht="24" thickBot="1" x14ac:dyDescent="0.3">
      <c r="C145" s="711"/>
      <c r="D145" s="712"/>
      <c r="E145" s="712"/>
      <c r="F145" s="712"/>
      <c r="G145" s="712"/>
      <c r="H145" s="712"/>
      <c r="I145" s="712"/>
      <c r="J145" s="712"/>
      <c r="K145" s="712"/>
      <c r="L145" s="712"/>
      <c r="M145" s="712"/>
      <c r="N145" s="712"/>
      <c r="O145" s="712"/>
      <c r="P145" s="712"/>
      <c r="Q145" s="712"/>
      <c r="R145" s="713"/>
      <c r="S145" s="284"/>
      <c r="T145" s="284"/>
    </row>
    <row r="146" spans="3:20" ht="24" thickBot="1" x14ac:dyDescent="0.3">
      <c r="C146" s="558"/>
      <c r="D146" s="559"/>
      <c r="E146" s="559"/>
      <c r="F146" s="559"/>
      <c r="G146" s="559"/>
      <c r="H146" s="559"/>
      <c r="I146" s="559"/>
      <c r="J146" s="559"/>
      <c r="K146" s="559"/>
      <c r="L146" s="559"/>
      <c r="M146" s="559"/>
      <c r="N146" s="559"/>
      <c r="O146" s="559"/>
      <c r="P146" s="559"/>
      <c r="Q146" s="559"/>
      <c r="R146" s="560"/>
      <c r="S146" s="284"/>
      <c r="T146" s="284"/>
    </row>
    <row r="147" spans="3:20" ht="32.25" customHeight="1" x14ac:dyDescent="0.25">
      <c r="C147" s="714" t="s">
        <v>991</v>
      </c>
      <c r="D147" s="715"/>
      <c r="E147" s="715"/>
      <c r="F147" s="715"/>
      <c r="G147" s="715"/>
      <c r="H147" s="715"/>
      <c r="I147" s="715"/>
      <c r="J147" s="715"/>
      <c r="K147" s="715"/>
      <c r="L147" s="715"/>
      <c r="M147" s="715"/>
      <c r="N147" s="715"/>
      <c r="O147" s="715"/>
      <c r="P147" s="715"/>
      <c r="Q147" s="715"/>
      <c r="R147" s="716"/>
      <c r="S147" s="284"/>
      <c r="T147" s="284"/>
    </row>
    <row r="148" spans="3:20" ht="23.25" customHeight="1" x14ac:dyDescent="0.25">
      <c r="C148" s="717"/>
      <c r="D148" s="718"/>
      <c r="E148" s="718"/>
      <c r="F148" s="718"/>
      <c r="G148" s="718"/>
      <c r="H148" s="718"/>
      <c r="I148" s="718"/>
      <c r="J148" s="718"/>
      <c r="K148" s="718"/>
      <c r="L148" s="718"/>
      <c r="M148" s="718"/>
      <c r="N148" s="718"/>
      <c r="O148" s="718"/>
      <c r="P148" s="718"/>
      <c r="Q148" s="718"/>
      <c r="R148" s="719"/>
    </row>
    <row r="149" spans="3:20" ht="24" customHeight="1" x14ac:dyDescent="0.25">
      <c r="C149" s="717"/>
      <c r="D149" s="718"/>
      <c r="E149" s="718"/>
      <c r="F149" s="718"/>
      <c r="G149" s="718"/>
      <c r="H149" s="718"/>
      <c r="I149" s="718"/>
      <c r="J149" s="718"/>
      <c r="K149" s="718"/>
      <c r="L149" s="718"/>
      <c r="M149" s="718"/>
      <c r="N149" s="718"/>
      <c r="O149" s="718"/>
      <c r="P149" s="718"/>
      <c r="Q149" s="718"/>
      <c r="R149" s="719"/>
    </row>
    <row r="150" spans="3:20" ht="23.25" customHeight="1" x14ac:dyDescent="0.25">
      <c r="C150" s="717"/>
      <c r="D150" s="718"/>
      <c r="E150" s="718"/>
      <c r="F150" s="718"/>
      <c r="G150" s="718"/>
      <c r="H150" s="718"/>
      <c r="I150" s="718"/>
      <c r="J150" s="718"/>
      <c r="K150" s="718"/>
      <c r="L150" s="718"/>
      <c r="M150" s="718"/>
      <c r="N150" s="718"/>
      <c r="O150" s="718"/>
      <c r="P150" s="718"/>
      <c r="Q150" s="718"/>
      <c r="R150" s="719"/>
    </row>
    <row r="151" spans="3:20" ht="24" customHeight="1" x14ac:dyDescent="0.25">
      <c r="C151" s="717"/>
      <c r="D151" s="718"/>
      <c r="E151" s="718"/>
      <c r="F151" s="718"/>
      <c r="G151" s="718"/>
      <c r="H151" s="718"/>
      <c r="I151" s="718"/>
      <c r="J151" s="718"/>
      <c r="K151" s="718"/>
      <c r="L151" s="718"/>
      <c r="M151" s="718"/>
      <c r="N151" s="718"/>
      <c r="O151" s="718"/>
      <c r="P151" s="718"/>
      <c r="Q151" s="718"/>
      <c r="R151" s="719"/>
    </row>
    <row r="152" spans="3:20" ht="24" thickBot="1" x14ac:dyDescent="0.3">
      <c r="C152" s="720"/>
      <c r="D152" s="721"/>
      <c r="E152" s="721"/>
      <c r="F152" s="721"/>
      <c r="G152" s="721"/>
      <c r="H152" s="721"/>
      <c r="I152" s="721"/>
      <c r="J152" s="721"/>
      <c r="K152" s="721"/>
      <c r="L152" s="721"/>
      <c r="M152" s="721"/>
      <c r="N152" s="721"/>
      <c r="O152" s="721"/>
      <c r="P152" s="721"/>
      <c r="Q152" s="721"/>
      <c r="R152" s="722"/>
    </row>
  </sheetData>
  <sheetProtection algorithmName="SHA-512" hashValue="DDcK0wVeMq+qtoUwm96gjw+qHfqiRAiX/dUuOVKbr5pkD/QbFbW55VrRlof2q0+fNxTE1KFGocnjL5CbT33t7Q==" saltValue="vdVd24Tcorn89LAhUOw+4w==" spinCount="100000" sheet="1" objects="1" scenarios="1" selectLockedCells="1" selectUnlockedCells="1"/>
  <mergeCells count="58">
    <mergeCell ref="C12:R14"/>
    <mergeCell ref="C22:R28"/>
    <mergeCell ref="C21:R21"/>
    <mergeCell ref="C30:R33"/>
    <mergeCell ref="C34:R37"/>
    <mergeCell ref="C29:R29"/>
    <mergeCell ref="C87:R89"/>
    <mergeCell ref="C43:R44"/>
    <mergeCell ref="C56:R59"/>
    <mergeCell ref="C65:R70"/>
    <mergeCell ref="C47:R48"/>
    <mergeCell ref="C38:N40"/>
    <mergeCell ref="P39:Q39"/>
    <mergeCell ref="C72:R75"/>
    <mergeCell ref="C80:R81"/>
    <mergeCell ref="C46:R46"/>
    <mergeCell ref="C49:R49"/>
    <mergeCell ref="C45:R45"/>
    <mergeCell ref="C61:R62"/>
    <mergeCell ref="C60:R60"/>
    <mergeCell ref="C50:R55"/>
    <mergeCell ref="C41:R42"/>
    <mergeCell ref="C109:R109"/>
    <mergeCell ref="C63:R64"/>
    <mergeCell ref="C71:R71"/>
    <mergeCell ref="C82:R82"/>
    <mergeCell ref="C121:R123"/>
    <mergeCell ref="C101:R103"/>
    <mergeCell ref="C90:R91"/>
    <mergeCell ref="C92:R93"/>
    <mergeCell ref="C94:R95"/>
    <mergeCell ref="C76:R77"/>
    <mergeCell ref="C97:R98"/>
    <mergeCell ref="C99:R100"/>
    <mergeCell ref="C96:R96"/>
    <mergeCell ref="C78:R79"/>
    <mergeCell ref="C83:R84"/>
    <mergeCell ref="C85:R86"/>
    <mergeCell ref="C104:R104"/>
    <mergeCell ref="C105:R105"/>
    <mergeCell ref="C106:R106"/>
    <mergeCell ref="C107:R107"/>
    <mergeCell ref="C108:R108"/>
    <mergeCell ref="C129:R130"/>
    <mergeCell ref="C110:R114"/>
    <mergeCell ref="C117:R119"/>
    <mergeCell ref="C116:R116"/>
    <mergeCell ref="C115:R115"/>
    <mergeCell ref="C120:R120"/>
    <mergeCell ref="C127:R128"/>
    <mergeCell ref="C124:Q126"/>
    <mergeCell ref="C143:R145"/>
    <mergeCell ref="C147:R152"/>
    <mergeCell ref="C139:R140"/>
    <mergeCell ref="C141:R142"/>
    <mergeCell ref="C131:R133"/>
    <mergeCell ref="C134:R135"/>
    <mergeCell ref="C136:R138"/>
  </mergeCells>
  <pageMargins left="0.511811024" right="0.511811024" top="0.78740157499999996" bottom="0.78740157499999996" header="0.31496062000000002" footer="0.31496062000000002"/>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8E513-1916-4427-8640-E39BCB6AD0EE}">
  <dimension ref="A2:M39"/>
  <sheetViews>
    <sheetView workbookViewId="0"/>
  </sheetViews>
  <sheetFormatPr defaultRowHeight="15" x14ac:dyDescent="0.25"/>
  <cols>
    <col min="1" max="16384" width="9.140625" style="579"/>
  </cols>
  <sheetData>
    <row r="2" spans="2:13" x14ac:dyDescent="0.25">
      <c r="G2" s="625"/>
      <c r="M2" s="1192"/>
    </row>
    <row r="3" spans="2:13" x14ac:dyDescent="0.25">
      <c r="G3" s="625"/>
      <c r="M3" s="1192"/>
    </row>
    <row r="4" spans="2:13" x14ac:dyDescent="0.25">
      <c r="M4" s="1193"/>
    </row>
    <row r="5" spans="2:13" x14ac:dyDescent="0.25">
      <c r="M5" s="1193"/>
    </row>
    <row r="6" spans="2:13" x14ac:dyDescent="0.25">
      <c r="M6" s="1194"/>
    </row>
    <row r="7" spans="2:13" x14ac:dyDescent="0.25">
      <c r="M7" s="1194"/>
    </row>
    <row r="8" spans="2:13" x14ac:dyDescent="0.25">
      <c r="F8"/>
      <c r="L8"/>
      <c r="M8" s="1194"/>
    </row>
    <row r="9" spans="2:13" x14ac:dyDescent="0.25">
      <c r="G9" s="626"/>
      <c r="M9" s="1189"/>
    </row>
    <row r="10" spans="2:13" x14ac:dyDescent="0.25">
      <c r="M10" s="1189"/>
    </row>
    <row r="15" spans="2:13" x14ac:dyDescent="0.25">
      <c r="B15" s="1191" t="s">
        <v>1084</v>
      </c>
      <c r="C15" s="1191"/>
      <c r="D15" s="1191"/>
      <c r="E15" s="1191"/>
      <c r="G15" s="1191" t="s">
        <v>1085</v>
      </c>
      <c r="H15" s="1191"/>
      <c r="I15" s="1191"/>
      <c r="J15" s="1191"/>
      <c r="K15" s="1191"/>
      <c r="L15" s="1191"/>
    </row>
    <row r="16" spans="2:13" x14ac:dyDescent="0.25">
      <c r="B16" s="627"/>
      <c r="C16" s="627"/>
      <c r="D16" s="627"/>
      <c r="E16" s="627"/>
      <c r="G16" s="627"/>
      <c r="H16" s="627"/>
      <c r="I16" s="627"/>
      <c r="J16" s="627"/>
      <c r="K16" s="627"/>
      <c r="L16" s="627"/>
    </row>
    <row r="17" spans="2:13" x14ac:dyDescent="0.25">
      <c r="B17" s="627"/>
      <c r="C17" s="627"/>
      <c r="D17" s="627"/>
      <c r="E17" s="627"/>
      <c r="G17" s="627"/>
      <c r="H17" s="627"/>
      <c r="I17" s="627"/>
      <c r="J17" s="627"/>
      <c r="K17" s="627"/>
      <c r="L17" s="627"/>
    </row>
    <row r="18" spans="2:13" x14ac:dyDescent="0.25">
      <c r="B18" s="627"/>
      <c r="C18" s="627"/>
      <c r="D18" s="627"/>
      <c r="E18" s="627"/>
      <c r="G18" s="627"/>
      <c r="H18" s="627"/>
      <c r="I18" s="627"/>
      <c r="J18" s="627"/>
      <c r="K18" s="627"/>
      <c r="L18" s="627"/>
    </row>
    <row r="19" spans="2:13" x14ac:dyDescent="0.25">
      <c r="B19" s="627"/>
      <c r="C19" s="627"/>
      <c r="D19" s="627"/>
      <c r="E19" s="627"/>
      <c r="G19" s="627"/>
      <c r="H19" s="627"/>
      <c r="I19" s="627"/>
      <c r="J19" s="627"/>
      <c r="K19" s="627"/>
      <c r="L19" s="627"/>
    </row>
    <row r="22" spans="2:13" x14ac:dyDescent="0.25">
      <c r="G22" s="625"/>
      <c r="M22" s="1188"/>
    </row>
    <row r="23" spans="2:13" x14ac:dyDescent="0.25">
      <c r="G23" s="625"/>
      <c r="M23" s="1188"/>
    </row>
    <row r="24" spans="2:13" x14ac:dyDescent="0.25">
      <c r="M24" s="1189"/>
    </row>
    <row r="25" spans="2:13" x14ac:dyDescent="0.25">
      <c r="M25" s="1189"/>
    </row>
    <row r="26" spans="2:13" x14ac:dyDescent="0.25">
      <c r="M26" s="625"/>
    </row>
    <row r="27" spans="2:13" x14ac:dyDescent="0.25">
      <c r="M27" s="625"/>
    </row>
    <row r="28" spans="2:13" x14ac:dyDescent="0.25">
      <c r="F28"/>
      <c r="L28"/>
    </row>
    <row r="29" spans="2:13" x14ac:dyDescent="0.25">
      <c r="G29" s="626"/>
      <c r="M29" s="1190"/>
    </row>
    <row r="30" spans="2:13" x14ac:dyDescent="0.25">
      <c r="M30" s="1190"/>
    </row>
    <row r="35" spans="1:11" x14ac:dyDescent="0.25">
      <c r="A35" s="1191" t="s">
        <v>1086</v>
      </c>
      <c r="B35" s="1191"/>
      <c r="C35" s="1191"/>
      <c r="D35" s="1191"/>
      <c r="E35" s="1191"/>
      <c r="F35" s="1191"/>
      <c r="H35" s="1191" t="s">
        <v>1087</v>
      </c>
      <c r="I35" s="1191"/>
      <c r="J35" s="1191"/>
      <c r="K35" s="1191"/>
    </row>
    <row r="38" spans="1:11" x14ac:dyDescent="0.25">
      <c r="G38" s="625"/>
    </row>
    <row r="39" spans="1:11" x14ac:dyDescent="0.25">
      <c r="G39" s="625"/>
    </row>
  </sheetData>
  <mergeCells count="11">
    <mergeCell ref="M2:M3"/>
    <mergeCell ref="M4:M5"/>
    <mergeCell ref="M6:M8"/>
    <mergeCell ref="M9:M10"/>
    <mergeCell ref="B15:E15"/>
    <mergeCell ref="G15:L15"/>
    <mergeCell ref="M22:M23"/>
    <mergeCell ref="M24:M25"/>
    <mergeCell ref="M29:M30"/>
    <mergeCell ref="A35:F35"/>
    <mergeCell ref="H35:K35"/>
  </mergeCells>
  <pageMargins left="0.511811024" right="0.511811024" top="0.78740157499999996" bottom="0.78740157499999996" header="0.31496062000000002" footer="0.31496062000000002"/>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2">
    <tabColor rgb="FF642E33"/>
  </sheetPr>
  <dimension ref="H2:R21"/>
  <sheetViews>
    <sheetView zoomScale="68" zoomScaleNormal="68" workbookViewId="0">
      <selection activeCell="I6" sqref="I6:L6"/>
    </sheetView>
  </sheetViews>
  <sheetFormatPr defaultRowHeight="23.25" x14ac:dyDescent="0.35"/>
  <cols>
    <col min="1" max="6" width="9.140625" style="15"/>
    <col min="7" max="7" width="6.5703125" style="15" customWidth="1"/>
    <col min="8" max="8" width="23.7109375" style="15" customWidth="1"/>
    <col min="9" max="9" width="12.85546875" style="15" customWidth="1"/>
    <col min="10" max="10" width="7.42578125" style="15" bestFit="1" customWidth="1"/>
    <col min="11" max="11" width="13" style="15" customWidth="1"/>
    <col min="12" max="12" width="40.5703125" style="15" customWidth="1"/>
    <col min="13" max="13" width="4.140625" style="15" customWidth="1"/>
    <col min="14" max="14" width="22" style="15" customWidth="1"/>
    <col min="15" max="15" width="13.5703125" style="15" customWidth="1"/>
    <col min="16" max="16" width="11" style="15" customWidth="1"/>
    <col min="17" max="17" width="9.140625" style="15"/>
    <col min="18" max="18" width="27.5703125" style="15" customWidth="1"/>
    <col min="19" max="16384" width="9.140625" style="15"/>
  </cols>
  <sheetData>
    <row r="2" spans="8:18" ht="24" thickBot="1" x14ac:dyDescent="0.4"/>
    <row r="3" spans="8:18" x14ac:dyDescent="0.35">
      <c r="H3" s="766" t="s">
        <v>8</v>
      </c>
      <c r="I3" s="767"/>
      <c r="J3" s="767"/>
      <c r="K3" s="767"/>
      <c r="L3" s="768"/>
      <c r="M3" s="16"/>
      <c r="N3" s="766" t="s">
        <v>9</v>
      </c>
      <c r="O3" s="767"/>
      <c r="P3" s="767"/>
      <c r="Q3" s="767"/>
      <c r="R3" s="768"/>
    </row>
    <row r="4" spans="8:18" ht="54.75" customHeight="1" x14ac:dyDescent="0.35">
      <c r="H4" s="769"/>
      <c r="I4" s="770"/>
      <c r="J4" s="770"/>
      <c r="K4" s="770"/>
      <c r="L4" s="771"/>
      <c r="M4" s="16"/>
      <c r="N4" s="769"/>
      <c r="O4" s="770"/>
      <c r="P4" s="770"/>
      <c r="Q4" s="770"/>
      <c r="R4" s="771"/>
    </row>
    <row r="5" spans="8:18" x14ac:dyDescent="0.35">
      <c r="H5" s="17"/>
      <c r="I5" s="18"/>
      <c r="J5" s="18"/>
      <c r="K5" s="18"/>
      <c r="L5" s="19"/>
      <c r="M5" s="16"/>
      <c r="N5" s="17"/>
      <c r="O5" s="18"/>
      <c r="P5" s="18"/>
      <c r="Q5" s="18"/>
      <c r="R5" s="19"/>
    </row>
    <row r="6" spans="8:18" x14ac:dyDescent="0.35">
      <c r="H6" s="20" t="s">
        <v>0</v>
      </c>
      <c r="I6" s="772"/>
      <c r="J6" s="772"/>
      <c r="K6" s="772"/>
      <c r="L6" s="773"/>
      <c r="M6" s="16"/>
      <c r="N6" s="20" t="s">
        <v>0</v>
      </c>
      <c r="O6" s="761"/>
      <c r="P6" s="761"/>
      <c r="Q6" s="761"/>
      <c r="R6" s="762"/>
    </row>
    <row r="7" spans="8:18" x14ac:dyDescent="0.35">
      <c r="H7" s="21"/>
      <c r="I7" s="507"/>
      <c r="J7" s="507"/>
      <c r="K7" s="507"/>
      <c r="L7" s="508"/>
      <c r="M7" s="16"/>
      <c r="N7" s="21"/>
      <c r="O7" s="507"/>
      <c r="P7" s="507"/>
      <c r="Q7" s="507"/>
      <c r="R7" s="508"/>
    </row>
    <row r="8" spans="8:18" x14ac:dyDescent="0.35">
      <c r="H8" s="20" t="s">
        <v>1</v>
      </c>
      <c r="I8" s="761"/>
      <c r="J8" s="761"/>
      <c r="K8" s="761"/>
      <c r="L8" s="762"/>
      <c r="M8" s="16"/>
      <c r="N8" s="20" t="s">
        <v>1</v>
      </c>
      <c r="O8" s="761"/>
      <c r="P8" s="761"/>
      <c r="Q8" s="761"/>
      <c r="R8" s="762"/>
    </row>
    <row r="9" spans="8:18" x14ac:dyDescent="0.35">
      <c r="H9" s="21"/>
      <c r="I9" s="507"/>
      <c r="J9" s="509"/>
      <c r="K9" s="509"/>
      <c r="L9" s="508"/>
      <c r="M9" s="16"/>
      <c r="N9" s="21"/>
      <c r="O9" s="507"/>
      <c r="P9" s="509"/>
      <c r="Q9" s="509"/>
      <c r="R9" s="508"/>
    </row>
    <row r="10" spans="8:18" x14ac:dyDescent="0.35">
      <c r="H10" s="21" t="s">
        <v>2</v>
      </c>
      <c r="I10" s="764"/>
      <c r="J10" s="764"/>
      <c r="K10" s="764"/>
      <c r="L10" s="765"/>
      <c r="M10" s="16"/>
      <c r="N10" s="21" t="s">
        <v>2</v>
      </c>
      <c r="O10" s="761"/>
      <c r="P10" s="761"/>
      <c r="Q10" s="761"/>
      <c r="R10" s="762"/>
    </row>
    <row r="11" spans="8:18" x14ac:dyDescent="0.35">
      <c r="H11" s="21"/>
      <c r="I11" s="507"/>
      <c r="J11" s="507"/>
      <c r="K11" s="507"/>
      <c r="L11" s="508"/>
      <c r="M11" s="16"/>
      <c r="N11" s="21"/>
      <c r="O11" s="507"/>
      <c r="P11" s="507"/>
      <c r="Q11" s="507"/>
      <c r="R11" s="508"/>
    </row>
    <row r="12" spans="8:18" x14ac:dyDescent="0.35">
      <c r="H12" s="21" t="s">
        <v>3</v>
      </c>
      <c r="I12" s="764"/>
      <c r="J12" s="764"/>
      <c r="K12" s="764"/>
      <c r="L12" s="765"/>
      <c r="M12" s="16"/>
      <c r="N12" s="21" t="s">
        <v>3</v>
      </c>
      <c r="O12" s="761"/>
      <c r="P12" s="761"/>
      <c r="Q12" s="761"/>
      <c r="R12" s="762"/>
    </row>
    <row r="13" spans="8:18" x14ac:dyDescent="0.35">
      <c r="H13" s="21"/>
      <c r="I13" s="510"/>
      <c r="J13" s="509"/>
      <c r="K13" s="509"/>
      <c r="L13" s="508"/>
      <c r="M13" s="16"/>
      <c r="N13" s="21"/>
      <c r="O13" s="510"/>
      <c r="P13" s="509"/>
      <c r="Q13" s="509"/>
      <c r="R13" s="508"/>
    </row>
    <row r="14" spans="8:18" x14ac:dyDescent="0.35">
      <c r="H14" s="21" t="s">
        <v>4</v>
      </c>
      <c r="I14" s="764"/>
      <c r="J14" s="764"/>
      <c r="K14" s="764"/>
      <c r="L14" s="765"/>
      <c r="M14" s="16"/>
      <c r="N14" s="21" t="s">
        <v>4</v>
      </c>
      <c r="O14" s="761"/>
      <c r="P14" s="761"/>
      <c r="Q14" s="761"/>
      <c r="R14" s="762"/>
    </row>
    <row r="15" spans="8:18" x14ac:dyDescent="0.35">
      <c r="H15" s="21"/>
      <c r="I15" s="509"/>
      <c r="J15" s="509"/>
      <c r="K15" s="509"/>
      <c r="L15" s="508"/>
      <c r="M15" s="16"/>
      <c r="N15" s="21"/>
      <c r="O15" s="509"/>
      <c r="P15" s="509"/>
      <c r="Q15" s="509"/>
      <c r="R15" s="508"/>
    </row>
    <row r="16" spans="8:18" x14ac:dyDescent="0.35">
      <c r="H16" s="21" t="s">
        <v>5</v>
      </c>
      <c r="I16" s="764"/>
      <c r="J16" s="764"/>
      <c r="K16" s="764"/>
      <c r="L16" s="765"/>
      <c r="M16" s="16"/>
      <c r="N16" s="21" t="s">
        <v>5</v>
      </c>
      <c r="O16" s="761"/>
      <c r="P16" s="761"/>
      <c r="Q16" s="761"/>
      <c r="R16" s="762"/>
    </row>
    <row r="17" spans="8:18" x14ac:dyDescent="0.35">
      <c r="H17" s="21"/>
      <c r="I17" s="509"/>
      <c r="J17" s="509"/>
      <c r="K17" s="509"/>
      <c r="L17" s="508"/>
      <c r="M17" s="16"/>
      <c r="N17" s="21"/>
      <c r="O17" s="509"/>
      <c r="P17" s="509"/>
      <c r="Q17" s="509"/>
      <c r="R17" s="508"/>
    </row>
    <row r="18" spans="8:18" x14ac:dyDescent="0.35">
      <c r="H18" s="21" t="s">
        <v>6</v>
      </c>
      <c r="I18" s="764"/>
      <c r="J18" s="764"/>
      <c r="K18" s="764"/>
      <c r="L18" s="765"/>
      <c r="M18" s="16"/>
      <c r="N18" s="21" t="s">
        <v>6</v>
      </c>
      <c r="O18" s="761"/>
      <c r="P18" s="761"/>
      <c r="Q18" s="761"/>
      <c r="R18" s="762"/>
    </row>
    <row r="19" spans="8:18" x14ac:dyDescent="0.35">
      <c r="H19" s="21"/>
      <c r="I19" s="509"/>
      <c r="J19" s="509"/>
      <c r="K19" s="509"/>
      <c r="L19" s="508"/>
      <c r="M19" s="16"/>
      <c r="N19" s="21"/>
      <c r="O19" s="509"/>
      <c r="P19" s="509"/>
      <c r="Q19" s="509"/>
      <c r="R19" s="508"/>
    </row>
    <row r="20" spans="8:18" x14ac:dyDescent="0.35">
      <c r="H20" s="21" t="s">
        <v>7</v>
      </c>
      <c r="I20" s="763"/>
      <c r="J20" s="764"/>
      <c r="K20" s="764"/>
      <c r="L20" s="765"/>
      <c r="M20" s="16"/>
      <c r="N20" s="21" t="s">
        <v>7</v>
      </c>
      <c r="O20" s="760"/>
      <c r="P20" s="761"/>
      <c r="Q20" s="761"/>
      <c r="R20" s="762"/>
    </row>
    <row r="21" spans="8:18" ht="24" thickBot="1" x14ac:dyDescent="0.4">
      <c r="H21" s="22"/>
      <c r="I21" s="511"/>
      <c r="J21" s="511"/>
      <c r="K21" s="511"/>
      <c r="L21" s="512"/>
      <c r="M21" s="16"/>
      <c r="N21" s="22"/>
      <c r="O21" s="23"/>
      <c r="P21" s="23"/>
      <c r="Q21" s="23"/>
      <c r="R21" s="24"/>
    </row>
  </sheetData>
  <sheetProtection algorithmName="SHA-512" hashValue="lsqhH/0mHVJCPDdPL1wZi6ntMmYghTN2I6HxJAag13H7+cBRe5iMTz4zNWhmjAF2fOrMno7yTyTB6Ni+mIzh7w==" saltValue="RmwP1DkuHJ1/KnFxTcoUzA==" spinCount="100000" sheet="1" objects="1" scenarios="1" selectLockedCells="1"/>
  <mergeCells count="18">
    <mergeCell ref="H3:L4"/>
    <mergeCell ref="N3:R4"/>
    <mergeCell ref="I6:L6"/>
    <mergeCell ref="I8:L8"/>
    <mergeCell ref="O20:R20"/>
    <mergeCell ref="I20:L20"/>
    <mergeCell ref="I10:L10"/>
    <mergeCell ref="O6:R6"/>
    <mergeCell ref="O8:R8"/>
    <mergeCell ref="O10:R10"/>
    <mergeCell ref="O12:R12"/>
    <mergeCell ref="O14:R14"/>
    <mergeCell ref="O16:R16"/>
    <mergeCell ref="I12:L12"/>
    <mergeCell ref="I14:L14"/>
    <mergeCell ref="I16:L16"/>
    <mergeCell ref="I18:L18"/>
    <mergeCell ref="O18:R18"/>
  </mergeCells>
  <pageMargins left="0.511811024" right="0.511811024" top="0.78740157499999996" bottom="0.78740157499999996" header="0.31496062000000002" footer="0.31496062000000002"/>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3">
    <tabColor rgb="FF642E33"/>
  </sheetPr>
  <dimension ref="B1:P69"/>
  <sheetViews>
    <sheetView zoomScale="66" zoomScaleNormal="66" workbookViewId="0"/>
  </sheetViews>
  <sheetFormatPr defaultRowHeight="23.25" x14ac:dyDescent="0.35"/>
  <cols>
    <col min="1" max="1" width="4" style="25" customWidth="1"/>
    <col min="2" max="4" width="9.140625" style="25"/>
    <col min="5" max="6" width="9.28515625" style="25" bestFit="1" customWidth="1"/>
    <col min="7" max="7" width="20.28515625" style="25" customWidth="1"/>
    <col min="8" max="8" width="22.5703125" style="25" customWidth="1"/>
    <col min="9" max="10" width="9.140625" style="26"/>
    <col min="11" max="11" width="24.140625" style="26" customWidth="1"/>
    <col min="12" max="13" width="9.140625" style="25"/>
    <col min="14" max="14" width="23" style="25" customWidth="1"/>
    <col min="15" max="15" width="9.140625" style="25"/>
    <col min="16" max="16" width="29.5703125" style="25" bestFit="1" customWidth="1"/>
    <col min="17" max="16384" width="9.140625" style="25"/>
  </cols>
  <sheetData>
    <row r="1" spans="2:16" ht="24" thickBot="1" x14ac:dyDescent="0.4"/>
    <row r="2" spans="2:16" ht="38.25" thickBot="1" x14ac:dyDescent="0.4">
      <c r="B2" s="815" t="s">
        <v>342</v>
      </c>
      <c r="C2" s="816"/>
      <c r="D2" s="816"/>
      <c r="E2" s="816"/>
      <c r="F2" s="816"/>
      <c r="G2" s="816"/>
      <c r="H2" s="816"/>
      <c r="I2" s="816"/>
      <c r="J2" s="816"/>
      <c r="K2" s="816"/>
      <c r="L2" s="816"/>
      <c r="M2" s="816"/>
      <c r="N2" s="816"/>
      <c r="O2" s="817"/>
    </row>
    <row r="3" spans="2:16" ht="24" thickBot="1" x14ac:dyDescent="0.4">
      <c r="B3" s="569"/>
      <c r="C3" s="570"/>
      <c r="D3" s="570"/>
      <c r="E3" s="570"/>
      <c r="F3" s="570"/>
      <c r="G3" s="570"/>
      <c r="H3" s="570"/>
      <c r="I3" s="570"/>
      <c r="J3" s="570"/>
      <c r="K3" s="570"/>
      <c r="L3" s="570"/>
      <c r="M3" s="570"/>
      <c r="N3" s="570"/>
      <c r="O3" s="571"/>
    </row>
    <row r="4" spans="2:16" ht="30.75" x14ac:dyDescent="0.35">
      <c r="B4" s="27"/>
      <c r="C4" s="779" t="s">
        <v>343</v>
      </c>
      <c r="D4" s="780"/>
      <c r="E4" s="780"/>
      <c r="F4" s="780"/>
      <c r="G4" s="780"/>
      <c r="H4" s="780"/>
      <c r="I4" s="780"/>
      <c r="J4" s="780"/>
      <c r="K4" s="780"/>
      <c r="L4" s="780"/>
      <c r="M4" s="780"/>
      <c r="N4" s="781"/>
      <c r="O4" s="28"/>
    </row>
    <row r="5" spans="2:16" x14ac:dyDescent="0.35">
      <c r="B5" s="27"/>
      <c r="C5" s="783" t="s">
        <v>11</v>
      </c>
      <c r="D5" s="784"/>
      <c r="E5" s="784"/>
      <c r="F5" s="784"/>
      <c r="G5" s="784"/>
      <c r="H5" s="784"/>
      <c r="I5" s="776" t="s">
        <v>13</v>
      </c>
      <c r="J5" s="776"/>
      <c r="K5" s="776"/>
      <c r="L5" s="789" t="s">
        <v>12</v>
      </c>
      <c r="M5" s="789"/>
      <c r="N5" s="790"/>
      <c r="O5" s="29"/>
    </row>
    <row r="6" spans="2:16" x14ac:dyDescent="0.35">
      <c r="B6" s="27"/>
      <c r="C6" s="803" t="s">
        <v>344</v>
      </c>
      <c r="D6" s="782"/>
      <c r="E6" s="782"/>
      <c r="F6" s="782"/>
      <c r="G6" s="782"/>
      <c r="H6" s="782"/>
      <c r="I6" s="797">
        <v>209.7</v>
      </c>
      <c r="J6" s="797"/>
      <c r="K6" s="797"/>
      <c r="L6" s="785" t="s">
        <v>345</v>
      </c>
      <c r="M6" s="785"/>
      <c r="N6" s="786"/>
      <c r="O6" s="28"/>
    </row>
    <row r="7" spans="2:16" x14ac:dyDescent="0.35">
      <c r="B7" s="27"/>
      <c r="C7" s="803" t="s">
        <v>346</v>
      </c>
      <c r="D7" s="782"/>
      <c r="E7" s="782"/>
      <c r="F7" s="782"/>
      <c r="G7" s="782"/>
      <c r="H7" s="782"/>
      <c r="I7" s="807">
        <f>(('Inventário Físico'!D5*'Inventário Físico'!E5)+('Inventário Físico'!D6*'Inventário Físico'!E6)+'Inventário Físico'!D7*'Inventário Físico'!E7)+('Inventário Físico'!D8*'Inventário Físico'!E8)+('Inventário Físico'!D9*'Inventário Físico'!E9)+('Inventário Físico'!D10*'Inventário Físico'!E10)+('Inventário Físico'!D11*'Inventário Físico'!E11)+('Inventário Físico'!D12*'Inventário Físico'!E12)+('Inventário Físico'!D13*'Inventário Físico'!E13)+('Inventário Físico'!D14*'Inventário Físico'!E14)+('Inventário Físico'!D15*'Inventário Físico'!E15)+('Inventário Físico'!D16*'Inventário Físico'!E16)+('Inventário Físico'!D17*'Inventário Físico'!E17)+('Inventário Físico'!D18*'Inventário Físico'!E18)+('Inventário Físico'!D19*'Inventário Físico'!E19)+('Inventário Físico'!D20*'Inventário Físico'!E20)+('Inventário Físico'!D21*'Inventário Físico'!E21)</f>
        <v>25138.107558675496</v>
      </c>
      <c r="J7" s="807"/>
      <c r="K7" s="807"/>
      <c r="L7" s="785" t="s">
        <v>891</v>
      </c>
      <c r="M7" s="785"/>
      <c r="N7" s="786"/>
      <c r="O7" s="28"/>
    </row>
    <row r="8" spans="2:16" ht="25.5" x14ac:dyDescent="0.35">
      <c r="B8" s="684" t="s">
        <v>1088</v>
      </c>
      <c r="C8" s="803" t="s">
        <v>347</v>
      </c>
      <c r="D8" s="782"/>
      <c r="E8" s="782"/>
      <c r="F8" s="782"/>
      <c r="G8" s="782"/>
      <c r="H8" s="782"/>
      <c r="I8" s="797">
        <v>127.2</v>
      </c>
      <c r="J8" s="797"/>
      <c r="K8" s="797"/>
      <c r="L8" s="785" t="s">
        <v>345</v>
      </c>
      <c r="M8" s="785"/>
      <c r="N8" s="786"/>
      <c r="O8" s="28"/>
    </row>
    <row r="9" spans="2:16" ht="25.5" x14ac:dyDescent="0.35">
      <c r="B9" s="685"/>
      <c r="C9" s="809" t="s">
        <v>348</v>
      </c>
      <c r="D9" s="810"/>
      <c r="E9" s="810"/>
      <c r="F9" s="810"/>
      <c r="G9" s="810"/>
      <c r="H9" s="810"/>
      <c r="I9" s="807">
        <f>20%*$I$8</f>
        <v>25.44</v>
      </c>
      <c r="J9" s="807"/>
      <c r="K9" s="807"/>
      <c r="L9" s="787" t="s">
        <v>345</v>
      </c>
      <c r="M9" s="787"/>
      <c r="N9" s="788"/>
      <c r="O9" s="28"/>
    </row>
    <row r="10" spans="2:16" ht="26.25" thickBot="1" x14ac:dyDescent="0.4">
      <c r="B10" s="685"/>
      <c r="C10" s="30"/>
      <c r="D10" s="540"/>
      <c r="E10" s="540"/>
      <c r="F10" s="540"/>
      <c r="G10" s="540"/>
      <c r="H10" s="540"/>
      <c r="I10" s="544"/>
      <c r="J10" s="544"/>
      <c r="K10" s="544"/>
      <c r="L10" s="543"/>
      <c r="M10" s="543"/>
      <c r="N10" s="543"/>
      <c r="O10" s="28"/>
    </row>
    <row r="11" spans="2:16" ht="30.75" x14ac:dyDescent="0.35">
      <c r="B11" s="685"/>
      <c r="C11" s="779" t="s">
        <v>369</v>
      </c>
      <c r="D11" s="780"/>
      <c r="E11" s="780"/>
      <c r="F11" s="780"/>
      <c r="G11" s="780"/>
      <c r="H11" s="780"/>
      <c r="I11" s="780"/>
      <c r="J11" s="780"/>
      <c r="K11" s="780"/>
      <c r="L11" s="780"/>
      <c r="M11" s="780"/>
      <c r="N11" s="781"/>
      <c r="O11" s="28"/>
    </row>
    <row r="12" spans="2:16" ht="25.5" x14ac:dyDescent="0.35">
      <c r="B12" s="685"/>
      <c r="C12" s="783" t="s">
        <v>11</v>
      </c>
      <c r="D12" s="784"/>
      <c r="E12" s="784"/>
      <c r="F12" s="784"/>
      <c r="G12" s="784"/>
      <c r="H12" s="784"/>
      <c r="I12" s="776" t="s">
        <v>13</v>
      </c>
      <c r="J12" s="776"/>
      <c r="K12" s="776"/>
      <c r="L12" s="789" t="s">
        <v>12</v>
      </c>
      <c r="M12" s="789"/>
      <c r="N12" s="790"/>
      <c r="O12" s="28"/>
    </row>
    <row r="13" spans="2:16" ht="25.5" x14ac:dyDescent="0.35">
      <c r="B13" s="684" t="s">
        <v>1088</v>
      </c>
      <c r="C13" s="803" t="s">
        <v>993</v>
      </c>
      <c r="D13" s="782"/>
      <c r="E13" s="782"/>
      <c r="F13" s="782"/>
      <c r="G13" s="782"/>
      <c r="H13" s="782"/>
      <c r="I13" s="791">
        <v>2.75E-2</v>
      </c>
      <c r="J13" s="791"/>
      <c r="K13" s="791"/>
      <c r="L13" s="774" t="s">
        <v>995</v>
      </c>
      <c r="M13" s="774"/>
      <c r="N13" s="775"/>
      <c r="O13" s="28"/>
    </row>
    <row r="14" spans="2:16" ht="25.5" x14ac:dyDescent="0.35">
      <c r="B14" s="685"/>
      <c r="C14" s="803" t="s">
        <v>994</v>
      </c>
      <c r="D14" s="782"/>
      <c r="E14" s="782"/>
      <c r="F14" s="782"/>
      <c r="G14" s="782"/>
      <c r="H14" s="782"/>
      <c r="I14" s="791">
        <v>7.5300000000000006E-2</v>
      </c>
      <c r="J14" s="791"/>
      <c r="K14" s="791"/>
      <c r="L14" s="774" t="s">
        <v>995</v>
      </c>
      <c r="M14" s="774"/>
      <c r="N14" s="775"/>
      <c r="O14" s="28"/>
    </row>
    <row r="15" spans="2:16" ht="25.5" x14ac:dyDescent="0.35">
      <c r="B15" s="685"/>
      <c r="C15" s="803" t="s">
        <v>1041</v>
      </c>
      <c r="D15" s="782"/>
      <c r="E15" s="782"/>
      <c r="F15" s="782"/>
      <c r="G15" s="782"/>
      <c r="H15" s="782"/>
      <c r="I15" s="791">
        <v>0.12</v>
      </c>
      <c r="J15" s="791"/>
      <c r="K15" s="791"/>
      <c r="L15" s="774" t="s">
        <v>995</v>
      </c>
      <c r="M15" s="774"/>
      <c r="N15" s="775"/>
      <c r="O15" s="28"/>
    </row>
    <row r="16" spans="2:16" ht="25.5" x14ac:dyDescent="0.35">
      <c r="B16" s="685"/>
      <c r="C16" s="539" t="s">
        <v>368</v>
      </c>
      <c r="D16" s="540"/>
      <c r="E16" s="540"/>
      <c r="F16" s="540"/>
      <c r="G16" s="540"/>
      <c r="H16" s="540"/>
      <c r="I16" s="805">
        <v>1635.49</v>
      </c>
      <c r="J16" s="805"/>
      <c r="K16" s="805"/>
      <c r="L16" s="541"/>
      <c r="M16" s="541" t="s">
        <v>1003</v>
      </c>
      <c r="N16" s="542"/>
      <c r="O16" s="28"/>
      <c r="P16" s="578"/>
    </row>
    <row r="17" spans="2:16" ht="25.5" x14ac:dyDescent="0.35">
      <c r="B17" s="684" t="s">
        <v>1088</v>
      </c>
      <c r="C17" s="809" t="s">
        <v>349</v>
      </c>
      <c r="D17" s="810"/>
      <c r="E17" s="810"/>
      <c r="F17" s="810"/>
      <c r="G17" s="810"/>
      <c r="H17" s="810"/>
      <c r="I17" s="792">
        <v>10000</v>
      </c>
      <c r="J17" s="792"/>
      <c r="K17" s="792"/>
      <c r="L17" s="787" t="s">
        <v>350</v>
      </c>
      <c r="M17" s="787"/>
      <c r="N17" s="788"/>
      <c r="O17" s="28"/>
      <c r="P17" s="578"/>
    </row>
    <row r="18" spans="2:16" ht="26.25" thickBot="1" x14ac:dyDescent="0.4">
      <c r="B18" s="685"/>
      <c r="C18" s="540"/>
      <c r="D18" s="540"/>
      <c r="E18" s="540"/>
      <c r="F18" s="540"/>
      <c r="G18" s="540"/>
      <c r="H18" s="540"/>
      <c r="I18" s="31"/>
      <c r="J18" s="31"/>
      <c r="K18" s="31"/>
      <c r="L18" s="543"/>
      <c r="M18" s="543"/>
      <c r="N18" s="543"/>
      <c r="O18" s="28"/>
      <c r="P18" s="578"/>
    </row>
    <row r="19" spans="2:16" ht="30.75" x14ac:dyDescent="0.35">
      <c r="B19" s="685"/>
      <c r="C19" s="779" t="s">
        <v>370</v>
      </c>
      <c r="D19" s="780"/>
      <c r="E19" s="780"/>
      <c r="F19" s="780"/>
      <c r="G19" s="780"/>
      <c r="H19" s="780"/>
      <c r="I19" s="780"/>
      <c r="J19" s="780"/>
      <c r="K19" s="780"/>
      <c r="L19" s="780"/>
      <c r="M19" s="780"/>
      <c r="N19" s="781"/>
      <c r="O19" s="28"/>
    </row>
    <row r="20" spans="2:16" ht="25.5" x14ac:dyDescent="0.35">
      <c r="B20" s="685"/>
      <c r="C20" s="783" t="s">
        <v>11</v>
      </c>
      <c r="D20" s="784"/>
      <c r="E20" s="784"/>
      <c r="F20" s="784"/>
      <c r="G20" s="784"/>
      <c r="H20" s="784"/>
      <c r="I20" s="776" t="s">
        <v>833</v>
      </c>
      <c r="J20" s="776"/>
      <c r="K20" s="776"/>
      <c r="L20" s="789" t="s">
        <v>12</v>
      </c>
      <c r="M20" s="789"/>
      <c r="N20" s="790"/>
      <c r="O20" s="28"/>
    </row>
    <row r="21" spans="2:16" ht="25.5" x14ac:dyDescent="0.35">
      <c r="B21" s="685"/>
      <c r="C21" s="803" t="s">
        <v>371</v>
      </c>
      <c r="D21" s="782"/>
      <c r="E21" s="782"/>
      <c r="F21" s="782"/>
      <c r="G21" s="782"/>
      <c r="H21" s="782"/>
      <c r="I21" s="804">
        <f>($I$66*'Relatório econômico'!$E$7)*$I$15</f>
        <v>89011.69316612804</v>
      </c>
      <c r="J21" s="804"/>
      <c r="K21" s="804"/>
      <c r="L21" s="774" t="s">
        <v>1013</v>
      </c>
      <c r="M21" s="774"/>
      <c r="N21" s="775"/>
      <c r="O21" s="32"/>
    </row>
    <row r="22" spans="2:16" ht="25.5" x14ac:dyDescent="0.35">
      <c r="B22" s="685"/>
      <c r="C22" s="803" t="s">
        <v>373</v>
      </c>
      <c r="D22" s="782"/>
      <c r="E22" s="782"/>
      <c r="F22" s="782"/>
      <c r="G22" s="782"/>
      <c r="H22" s="782"/>
      <c r="I22" s="804">
        <v>1.63</v>
      </c>
      <c r="J22" s="804"/>
      <c r="K22" s="804"/>
      <c r="L22" s="774" t="s">
        <v>1017</v>
      </c>
      <c r="M22" s="774"/>
      <c r="N22" s="775"/>
      <c r="O22" s="32"/>
      <c r="P22" s="33"/>
    </row>
    <row r="23" spans="2:16" ht="25.5" x14ac:dyDescent="0.35">
      <c r="B23" s="685"/>
      <c r="C23" s="539" t="s">
        <v>377</v>
      </c>
      <c r="D23" s="540"/>
      <c r="E23" s="540"/>
      <c r="F23" s="540"/>
      <c r="G23" s="540"/>
      <c r="H23" s="540"/>
      <c r="I23" s="804">
        <f>(1.5%)*'Relatório econômico'!F7</f>
        <v>11126.461645766005</v>
      </c>
      <c r="J23" s="804"/>
      <c r="K23" s="804"/>
      <c r="L23" s="541"/>
      <c r="M23" s="541" t="s">
        <v>1013</v>
      </c>
      <c r="N23" s="542"/>
      <c r="O23" s="32"/>
      <c r="P23" s="33"/>
    </row>
    <row r="24" spans="2:16" ht="25.5" x14ac:dyDescent="0.35">
      <c r="B24" s="685"/>
      <c r="C24" s="535" t="s">
        <v>1004</v>
      </c>
      <c r="D24" s="536"/>
      <c r="E24" s="536"/>
      <c r="F24" s="536"/>
      <c r="G24" s="536"/>
      <c r="H24" s="536"/>
      <c r="I24" s="792">
        <v>0</v>
      </c>
      <c r="J24" s="792"/>
      <c r="K24" s="792"/>
      <c r="L24" s="537"/>
      <c r="M24" s="537" t="s">
        <v>1013</v>
      </c>
      <c r="N24" s="538"/>
      <c r="O24" s="28"/>
      <c r="P24" s="577"/>
    </row>
    <row r="25" spans="2:16" ht="26.25" thickBot="1" x14ac:dyDescent="0.4">
      <c r="B25" s="685"/>
      <c r="C25" s="540"/>
      <c r="D25" s="540"/>
      <c r="E25" s="540"/>
      <c r="F25" s="540"/>
      <c r="G25" s="540"/>
      <c r="H25" s="540"/>
      <c r="I25" s="31"/>
      <c r="J25" s="31"/>
      <c r="K25" s="31"/>
      <c r="L25" s="541"/>
      <c r="M25" s="541"/>
      <c r="N25" s="541"/>
      <c r="O25" s="28"/>
    </row>
    <row r="26" spans="2:16" ht="30.75" x14ac:dyDescent="0.35">
      <c r="B26" s="685"/>
      <c r="C26" s="779" t="s">
        <v>374</v>
      </c>
      <c r="D26" s="780"/>
      <c r="E26" s="780"/>
      <c r="F26" s="780"/>
      <c r="G26" s="780"/>
      <c r="H26" s="780"/>
      <c r="I26" s="780"/>
      <c r="J26" s="780"/>
      <c r="K26" s="780"/>
      <c r="L26" s="780"/>
      <c r="M26" s="780"/>
      <c r="N26" s="781"/>
      <c r="O26" s="28"/>
    </row>
    <row r="27" spans="2:16" ht="25.5" x14ac:dyDescent="0.35">
      <c r="B27" s="685"/>
      <c r="C27" s="783" t="s">
        <v>11</v>
      </c>
      <c r="D27" s="784"/>
      <c r="E27" s="784"/>
      <c r="F27" s="784"/>
      <c r="G27" s="784"/>
      <c r="H27" s="784"/>
      <c r="I27" s="776" t="s">
        <v>833</v>
      </c>
      <c r="J27" s="776"/>
      <c r="K27" s="776"/>
      <c r="L27" s="789" t="s">
        <v>12</v>
      </c>
      <c r="M27" s="789"/>
      <c r="N27" s="790"/>
      <c r="O27" s="28"/>
    </row>
    <row r="28" spans="2:16" ht="25.5" x14ac:dyDescent="0.35">
      <c r="B28" s="685"/>
      <c r="C28" s="803" t="s">
        <v>375</v>
      </c>
      <c r="D28" s="782"/>
      <c r="E28" s="782"/>
      <c r="F28" s="782"/>
      <c r="G28" s="782"/>
      <c r="H28" s="782"/>
      <c r="I28" s="804">
        <f>((20000*0.1)*I8)</f>
        <v>254400</v>
      </c>
      <c r="J28" s="804"/>
      <c r="K28" s="804"/>
      <c r="L28" s="774" t="s">
        <v>372</v>
      </c>
      <c r="M28" s="774"/>
      <c r="N28" s="775"/>
      <c r="O28" s="28"/>
    </row>
    <row r="29" spans="2:16" ht="25.5" x14ac:dyDescent="0.35">
      <c r="B29" s="685"/>
      <c r="C29" s="803" t="s">
        <v>376</v>
      </c>
      <c r="D29" s="782"/>
      <c r="E29" s="782"/>
      <c r="F29" s="782"/>
      <c r="G29" s="782"/>
      <c r="H29" s="782"/>
      <c r="I29" s="805">
        <v>0</v>
      </c>
      <c r="J29" s="805"/>
      <c r="K29" s="805"/>
      <c r="L29" s="774" t="s">
        <v>372</v>
      </c>
      <c r="M29" s="774"/>
      <c r="N29" s="775"/>
      <c r="O29" s="28"/>
    </row>
    <row r="30" spans="2:16" ht="25.5" x14ac:dyDescent="0.35">
      <c r="B30" s="685"/>
      <c r="C30" s="535" t="s">
        <v>1010</v>
      </c>
      <c r="D30" s="536"/>
      <c r="E30" s="536"/>
      <c r="F30" s="536"/>
      <c r="G30" s="536"/>
      <c r="H30" s="536"/>
      <c r="I30" s="792">
        <v>0</v>
      </c>
      <c r="J30" s="792"/>
      <c r="K30" s="792"/>
      <c r="L30" s="537"/>
      <c r="M30" s="537" t="s">
        <v>372</v>
      </c>
      <c r="N30" s="538"/>
      <c r="O30" s="28"/>
    </row>
    <row r="31" spans="2:16" ht="26.25" thickBot="1" x14ac:dyDescent="0.4">
      <c r="B31" s="685"/>
      <c r="C31" s="540"/>
      <c r="D31" s="540"/>
      <c r="E31" s="540"/>
      <c r="F31" s="540"/>
      <c r="G31" s="540"/>
      <c r="H31" s="540"/>
      <c r="I31" s="31"/>
      <c r="J31" s="31"/>
      <c r="K31" s="31"/>
      <c r="L31" s="541"/>
      <c r="M31" s="541"/>
      <c r="N31" s="541"/>
      <c r="O31" s="28"/>
    </row>
    <row r="32" spans="2:16" ht="30.75" x14ac:dyDescent="0.35">
      <c r="B32" s="685"/>
      <c r="C32" s="779" t="s">
        <v>570</v>
      </c>
      <c r="D32" s="780"/>
      <c r="E32" s="780"/>
      <c r="F32" s="780"/>
      <c r="G32" s="780"/>
      <c r="H32" s="780"/>
      <c r="I32" s="780"/>
      <c r="J32" s="780"/>
      <c r="K32" s="780"/>
      <c r="L32" s="780"/>
      <c r="M32" s="780"/>
      <c r="N32" s="781"/>
      <c r="O32" s="28"/>
    </row>
    <row r="33" spans="2:15" ht="25.5" x14ac:dyDescent="0.35">
      <c r="B33" s="685"/>
      <c r="C33" s="783" t="s">
        <v>11</v>
      </c>
      <c r="D33" s="784"/>
      <c r="E33" s="784"/>
      <c r="F33" s="784"/>
      <c r="G33" s="784"/>
      <c r="H33" s="784"/>
      <c r="I33" s="776" t="s">
        <v>1018</v>
      </c>
      <c r="J33" s="776"/>
      <c r="K33" s="776"/>
      <c r="L33" s="789" t="s">
        <v>12</v>
      </c>
      <c r="M33" s="789"/>
      <c r="N33" s="790"/>
      <c r="O33" s="28"/>
    </row>
    <row r="34" spans="2:15" x14ac:dyDescent="0.35">
      <c r="B34" s="818" t="s">
        <v>1088</v>
      </c>
      <c r="C34" s="803" t="s">
        <v>571</v>
      </c>
      <c r="D34" s="782"/>
      <c r="E34" s="782"/>
      <c r="F34" s="782"/>
      <c r="G34" s="782"/>
      <c r="H34" s="782"/>
      <c r="I34" s="822">
        <v>0.1</v>
      </c>
      <c r="J34" s="822"/>
      <c r="K34" s="822"/>
      <c r="L34" s="774" t="s">
        <v>367</v>
      </c>
      <c r="M34" s="774"/>
      <c r="N34" s="775"/>
      <c r="O34" s="28"/>
    </row>
    <row r="35" spans="2:15" x14ac:dyDescent="0.35">
      <c r="B35" s="818"/>
      <c r="C35" s="809" t="s">
        <v>572</v>
      </c>
      <c r="D35" s="810"/>
      <c r="E35" s="810"/>
      <c r="F35" s="810"/>
      <c r="G35" s="810"/>
      <c r="H35" s="810"/>
      <c r="I35" s="821">
        <v>0.1</v>
      </c>
      <c r="J35" s="821"/>
      <c r="K35" s="821"/>
      <c r="L35" s="819" t="s">
        <v>367</v>
      </c>
      <c r="M35" s="819"/>
      <c r="N35" s="820"/>
      <c r="O35" s="28"/>
    </row>
    <row r="36" spans="2:15" ht="26.25" thickBot="1" x14ac:dyDescent="0.4">
      <c r="B36" s="685"/>
      <c r="C36" s="782"/>
      <c r="D36" s="782"/>
      <c r="E36" s="782"/>
      <c r="F36" s="782"/>
      <c r="G36" s="782"/>
      <c r="H36" s="782"/>
      <c r="I36" s="793"/>
      <c r="J36" s="793"/>
      <c r="K36" s="793"/>
      <c r="L36" s="785"/>
      <c r="M36" s="785"/>
      <c r="N36" s="785"/>
      <c r="O36" s="28"/>
    </row>
    <row r="37" spans="2:15" ht="30.75" x14ac:dyDescent="0.35">
      <c r="B37" s="685"/>
      <c r="C37" s="779" t="s">
        <v>351</v>
      </c>
      <c r="D37" s="780"/>
      <c r="E37" s="780"/>
      <c r="F37" s="780"/>
      <c r="G37" s="780"/>
      <c r="H37" s="780"/>
      <c r="I37" s="780"/>
      <c r="J37" s="780"/>
      <c r="K37" s="780"/>
      <c r="L37" s="780"/>
      <c r="M37" s="780"/>
      <c r="N37" s="781"/>
      <c r="O37" s="28"/>
    </row>
    <row r="38" spans="2:15" ht="25.5" x14ac:dyDescent="0.35">
      <c r="B38" s="685"/>
      <c r="C38" s="783" t="s">
        <v>352</v>
      </c>
      <c r="D38" s="784"/>
      <c r="E38" s="784"/>
      <c r="F38" s="784"/>
      <c r="G38" s="784"/>
      <c r="H38" s="784"/>
      <c r="I38" s="776"/>
      <c r="J38" s="776"/>
      <c r="K38" s="776"/>
      <c r="L38" s="776"/>
      <c r="M38" s="776"/>
      <c r="N38" s="806"/>
      <c r="O38" s="28"/>
    </row>
    <row r="39" spans="2:15" ht="25.5" x14ac:dyDescent="0.35">
      <c r="B39" s="685"/>
      <c r="C39" s="811" t="s">
        <v>353</v>
      </c>
      <c r="D39" s="812"/>
      <c r="E39" s="812"/>
      <c r="F39" s="812"/>
      <c r="G39" s="812"/>
      <c r="H39" s="812"/>
      <c r="I39" s="812"/>
      <c r="J39" s="812"/>
      <c r="K39" s="812"/>
      <c r="L39" s="812"/>
      <c r="M39" s="812"/>
      <c r="N39" s="813"/>
      <c r="O39" s="28"/>
    </row>
    <row r="40" spans="2:15" ht="26.25" thickBot="1" x14ac:dyDescent="0.4">
      <c r="B40" s="685"/>
      <c r="G40" s="33"/>
      <c r="J40" s="808"/>
      <c r="K40" s="808"/>
      <c r="L40" s="808"/>
      <c r="M40" s="808"/>
      <c r="N40" s="808"/>
      <c r="O40" s="28"/>
    </row>
    <row r="41" spans="2:15" s="35" customFormat="1" ht="30.75" x14ac:dyDescent="0.35">
      <c r="B41" s="686"/>
      <c r="C41" s="779" t="s">
        <v>359</v>
      </c>
      <c r="D41" s="780"/>
      <c r="E41" s="780"/>
      <c r="F41" s="780"/>
      <c r="G41" s="780"/>
      <c r="H41" s="780"/>
      <c r="I41" s="780"/>
      <c r="J41" s="780"/>
      <c r="K41" s="780"/>
      <c r="L41" s="780"/>
      <c r="M41" s="780"/>
      <c r="N41" s="781"/>
      <c r="O41" s="34"/>
    </row>
    <row r="42" spans="2:15" ht="25.5" x14ac:dyDescent="0.35">
      <c r="B42" s="685"/>
      <c r="C42" s="783" t="s">
        <v>360</v>
      </c>
      <c r="D42" s="784"/>
      <c r="E42" s="784"/>
      <c r="F42" s="784"/>
      <c r="G42" s="784"/>
      <c r="H42" s="784"/>
      <c r="I42" s="784"/>
      <c r="J42" s="784"/>
      <c r="K42" s="784"/>
      <c r="L42" s="784"/>
      <c r="M42" s="784"/>
      <c r="N42" s="814"/>
      <c r="O42" s="28"/>
    </row>
    <row r="43" spans="2:15" ht="25.5" x14ac:dyDescent="0.35">
      <c r="B43" s="685"/>
      <c r="C43" s="811" t="s">
        <v>361</v>
      </c>
      <c r="D43" s="812"/>
      <c r="E43" s="812"/>
      <c r="F43" s="812"/>
      <c r="G43" s="812"/>
      <c r="H43" s="812"/>
      <c r="I43" s="812"/>
      <c r="J43" s="812"/>
      <c r="K43" s="812"/>
      <c r="L43" s="812"/>
      <c r="M43" s="812"/>
      <c r="N43" s="813"/>
      <c r="O43" s="28"/>
    </row>
    <row r="44" spans="2:15" ht="26.25" thickBot="1" x14ac:dyDescent="0.4">
      <c r="B44" s="685"/>
      <c r="O44" s="28"/>
    </row>
    <row r="45" spans="2:15" ht="30.75" x14ac:dyDescent="0.35">
      <c r="B45" s="685"/>
      <c r="C45" s="779" t="s">
        <v>82</v>
      </c>
      <c r="D45" s="780"/>
      <c r="E45" s="780"/>
      <c r="F45" s="780"/>
      <c r="G45" s="780"/>
      <c r="H45" s="780"/>
      <c r="I45" s="780"/>
      <c r="J45" s="780"/>
      <c r="K45" s="780"/>
      <c r="L45" s="780"/>
      <c r="M45" s="780"/>
      <c r="N45" s="781"/>
      <c r="O45" s="28"/>
    </row>
    <row r="46" spans="2:15" ht="72.75" customHeight="1" x14ac:dyDescent="0.35">
      <c r="B46" s="685"/>
      <c r="C46" s="783" t="s">
        <v>11</v>
      </c>
      <c r="D46" s="784"/>
      <c r="E46" s="784"/>
      <c r="F46" s="784"/>
      <c r="G46" s="784"/>
      <c r="H46" s="784"/>
      <c r="I46" s="776" t="s">
        <v>362</v>
      </c>
      <c r="J46" s="776"/>
      <c r="K46" s="36" t="s">
        <v>98</v>
      </c>
      <c r="L46" s="777" t="s">
        <v>363</v>
      </c>
      <c r="M46" s="777"/>
      <c r="N46" s="778"/>
      <c r="O46" s="37"/>
    </row>
    <row r="47" spans="2:15" ht="25.5" x14ac:dyDescent="0.35">
      <c r="B47" s="684" t="s">
        <v>1088</v>
      </c>
      <c r="C47" s="809" t="s">
        <v>366</v>
      </c>
      <c r="D47" s="810"/>
      <c r="E47" s="810"/>
      <c r="F47" s="810"/>
      <c r="G47" s="810"/>
      <c r="H47" s="810"/>
      <c r="I47" s="824">
        <v>54599</v>
      </c>
      <c r="J47" s="824"/>
      <c r="K47" s="621">
        <v>0.39</v>
      </c>
      <c r="L47" s="823">
        <f>I47*K47</f>
        <v>21293.61</v>
      </c>
      <c r="M47" s="787"/>
      <c r="N47" s="788"/>
      <c r="O47" s="28"/>
    </row>
    <row r="48" spans="2:15" ht="24" thickBot="1" x14ac:dyDescent="0.4">
      <c r="B48" s="27"/>
      <c r="I48" s="793"/>
      <c r="J48" s="793"/>
      <c r="K48" s="38"/>
      <c r="L48" s="785"/>
      <c r="M48" s="785"/>
      <c r="N48" s="785"/>
      <c r="O48" s="28"/>
    </row>
    <row r="49" spans="2:15" ht="30.75" x14ac:dyDescent="0.35">
      <c r="B49" s="27"/>
      <c r="C49" s="779" t="s">
        <v>356</v>
      </c>
      <c r="D49" s="780"/>
      <c r="E49" s="780"/>
      <c r="F49" s="780"/>
      <c r="G49" s="780"/>
      <c r="H49" s="780"/>
      <c r="I49" s="780"/>
      <c r="J49" s="780"/>
      <c r="K49" s="780"/>
      <c r="L49" s="780"/>
      <c r="M49" s="780"/>
      <c r="N49" s="781"/>
      <c r="O49" s="28"/>
    </row>
    <row r="50" spans="2:15" x14ac:dyDescent="0.35">
      <c r="B50" s="27"/>
      <c r="C50" s="783" t="s">
        <v>11</v>
      </c>
      <c r="D50" s="784"/>
      <c r="E50" s="784"/>
      <c r="F50" s="784"/>
      <c r="G50" s="784"/>
      <c r="H50" s="784"/>
      <c r="I50" s="776" t="s">
        <v>350</v>
      </c>
      <c r="J50" s="776"/>
      <c r="K50" s="776"/>
      <c r="L50" s="777" t="s">
        <v>364</v>
      </c>
      <c r="M50" s="777"/>
      <c r="N50" s="778"/>
      <c r="O50" s="28"/>
    </row>
    <row r="51" spans="2:15" x14ac:dyDescent="0.35">
      <c r="B51" s="27"/>
      <c r="C51" s="39" t="s">
        <v>355</v>
      </c>
      <c r="I51" s="797">
        <v>51.17</v>
      </c>
      <c r="J51" s="797"/>
      <c r="K51" s="797"/>
      <c r="L51" s="794">
        <f>$I$51</f>
        <v>51.17</v>
      </c>
      <c r="M51" s="794"/>
      <c r="N51" s="795"/>
      <c r="O51" s="28"/>
    </row>
    <row r="52" spans="2:15" x14ac:dyDescent="0.35">
      <c r="B52" s="27"/>
      <c r="C52" s="40" t="s">
        <v>354</v>
      </c>
      <c r="D52" s="41"/>
      <c r="E52" s="41"/>
      <c r="F52" s="41"/>
      <c r="G52" s="41"/>
      <c r="H52" s="41"/>
      <c r="I52" s="798">
        <v>199.9</v>
      </c>
      <c r="J52" s="798"/>
      <c r="K52" s="798"/>
      <c r="L52" s="799">
        <f>$I$52</f>
        <v>199.9</v>
      </c>
      <c r="M52" s="799"/>
      <c r="N52" s="800"/>
      <c r="O52" s="28"/>
    </row>
    <row r="53" spans="2:15" ht="24" thickBot="1" x14ac:dyDescent="0.4">
      <c r="B53" s="27"/>
      <c r="I53" s="793"/>
      <c r="J53" s="793"/>
      <c r="K53" s="793"/>
      <c r="L53" s="785"/>
      <c r="M53" s="785"/>
      <c r="N53" s="785"/>
      <c r="O53" s="28"/>
    </row>
    <row r="54" spans="2:15" ht="30.75" x14ac:dyDescent="0.35">
      <c r="B54" s="27"/>
      <c r="C54" s="779" t="s">
        <v>357</v>
      </c>
      <c r="D54" s="780"/>
      <c r="E54" s="780"/>
      <c r="F54" s="780"/>
      <c r="G54" s="780"/>
      <c r="H54" s="780"/>
      <c r="I54" s="780"/>
      <c r="J54" s="780"/>
      <c r="K54" s="780"/>
      <c r="L54" s="780"/>
      <c r="M54" s="780"/>
      <c r="N54" s="781"/>
      <c r="O54" s="28"/>
    </row>
    <row r="55" spans="2:15" ht="93" customHeight="1" x14ac:dyDescent="0.35">
      <c r="B55" s="27"/>
      <c r="C55" s="801" t="s">
        <v>11</v>
      </c>
      <c r="D55" s="802"/>
      <c r="E55" s="802"/>
      <c r="F55" s="802"/>
      <c r="G55" s="802"/>
      <c r="H55" s="802"/>
      <c r="I55" s="796" t="s">
        <v>84</v>
      </c>
      <c r="J55" s="796"/>
      <c r="K55" s="42" t="s">
        <v>94</v>
      </c>
      <c r="L55" s="777" t="s">
        <v>365</v>
      </c>
      <c r="M55" s="777"/>
      <c r="N55" s="778"/>
      <c r="O55" s="28"/>
    </row>
    <row r="56" spans="2:15" x14ac:dyDescent="0.35">
      <c r="B56" s="27"/>
      <c r="C56" s="39" t="s">
        <v>85</v>
      </c>
      <c r="I56" s="797">
        <v>80</v>
      </c>
      <c r="J56" s="797"/>
      <c r="K56" s="622">
        <v>5.39</v>
      </c>
      <c r="L56" s="794">
        <f>I56*K56</f>
        <v>431.2</v>
      </c>
      <c r="M56" s="794"/>
      <c r="N56" s="795"/>
      <c r="O56" s="28"/>
    </row>
    <row r="57" spans="2:15" x14ac:dyDescent="0.35">
      <c r="B57" s="43"/>
      <c r="C57" s="39" t="s">
        <v>83</v>
      </c>
      <c r="I57" s="797">
        <v>200</v>
      </c>
      <c r="J57" s="797"/>
      <c r="K57" s="622">
        <v>4.25</v>
      </c>
      <c r="L57" s="794">
        <f>I57*K57</f>
        <v>850</v>
      </c>
      <c r="M57" s="794"/>
      <c r="N57" s="795"/>
      <c r="O57" s="44"/>
    </row>
    <row r="58" spans="2:15" x14ac:dyDescent="0.35">
      <c r="B58" s="27"/>
      <c r="C58" s="40" t="s">
        <v>358</v>
      </c>
      <c r="D58" s="41"/>
      <c r="E58" s="41"/>
      <c r="F58" s="41"/>
      <c r="G58" s="41"/>
      <c r="H58" s="41"/>
      <c r="I58" s="798">
        <v>120</v>
      </c>
      <c r="J58" s="798"/>
      <c r="K58" s="624">
        <v>3.9</v>
      </c>
      <c r="L58" s="799">
        <f>I58*K58</f>
        <v>468</v>
      </c>
      <c r="M58" s="799"/>
      <c r="N58" s="800"/>
      <c r="O58" s="28"/>
    </row>
    <row r="59" spans="2:15" ht="24" thickBot="1" x14ac:dyDescent="0.4">
      <c r="B59" s="27"/>
      <c r="I59" s="568"/>
      <c r="J59" s="568"/>
      <c r="K59" s="623"/>
      <c r="L59" s="545"/>
      <c r="M59" s="545"/>
      <c r="N59" s="545"/>
      <c r="O59" s="28"/>
    </row>
    <row r="60" spans="2:15" ht="30.75" x14ac:dyDescent="0.35">
      <c r="B60" s="27"/>
      <c r="C60" s="779" t="s">
        <v>836</v>
      </c>
      <c r="D60" s="780"/>
      <c r="E60" s="780"/>
      <c r="F60" s="780"/>
      <c r="G60" s="780"/>
      <c r="H60" s="780"/>
      <c r="I60" s="780"/>
      <c r="J60" s="780"/>
      <c r="K60" s="780"/>
      <c r="L60" s="780"/>
      <c r="M60" s="780"/>
      <c r="N60" s="781"/>
      <c r="O60" s="28"/>
    </row>
    <row r="61" spans="2:15" x14ac:dyDescent="0.35">
      <c r="B61" s="27"/>
      <c r="C61" s="783" t="s">
        <v>11</v>
      </c>
      <c r="D61" s="784"/>
      <c r="E61" s="784"/>
      <c r="F61" s="784"/>
      <c r="G61" s="784"/>
      <c r="H61" s="784"/>
      <c r="I61" s="776" t="s">
        <v>13</v>
      </c>
      <c r="J61" s="776"/>
      <c r="K61" s="776"/>
      <c r="L61" s="789" t="s">
        <v>12</v>
      </c>
      <c r="M61" s="789"/>
      <c r="N61" s="790"/>
      <c r="O61" s="28"/>
    </row>
    <row r="62" spans="2:15" x14ac:dyDescent="0.35">
      <c r="B62" s="27"/>
      <c r="C62" s="803" t="s">
        <v>892</v>
      </c>
      <c r="D62" s="782"/>
      <c r="E62" s="782"/>
      <c r="F62" s="782"/>
      <c r="G62" s="782"/>
      <c r="H62" s="782"/>
      <c r="I62" s="805">
        <v>3.51</v>
      </c>
      <c r="J62" s="805"/>
      <c r="K62" s="805"/>
      <c r="L62" s="774" t="s">
        <v>894</v>
      </c>
      <c r="M62" s="774"/>
      <c r="N62" s="775"/>
      <c r="O62" s="28"/>
    </row>
    <row r="63" spans="2:15" x14ac:dyDescent="0.35">
      <c r="B63" s="27"/>
      <c r="C63" s="803" t="s">
        <v>893</v>
      </c>
      <c r="D63" s="782"/>
      <c r="E63" s="782"/>
      <c r="F63" s="782"/>
      <c r="G63" s="782"/>
      <c r="H63" s="782"/>
      <c r="I63" s="805">
        <f>I62</f>
        <v>3.51</v>
      </c>
      <c r="J63" s="805"/>
      <c r="K63" s="805"/>
      <c r="L63" s="774" t="s">
        <v>894</v>
      </c>
      <c r="M63" s="774"/>
      <c r="N63" s="775"/>
      <c r="O63" s="28"/>
    </row>
    <row r="64" spans="2:15" x14ac:dyDescent="0.35">
      <c r="B64" s="27"/>
      <c r="C64" s="539" t="s">
        <v>954</v>
      </c>
      <c r="D64" s="540"/>
      <c r="E64" s="540"/>
      <c r="F64" s="540"/>
      <c r="G64" s="540"/>
      <c r="H64" s="540"/>
      <c r="I64" s="805">
        <v>11.23</v>
      </c>
      <c r="J64" s="805"/>
      <c r="K64" s="805"/>
      <c r="L64" s="774" t="s">
        <v>894</v>
      </c>
      <c r="M64" s="774"/>
      <c r="N64" s="775"/>
      <c r="O64" s="28"/>
    </row>
    <row r="65" spans="2:15" x14ac:dyDescent="0.35">
      <c r="B65" s="27"/>
      <c r="C65" s="803" t="s">
        <v>955</v>
      </c>
      <c r="D65" s="782"/>
      <c r="E65" s="782"/>
      <c r="F65" s="782"/>
      <c r="G65" s="782"/>
      <c r="H65" s="782"/>
      <c r="I65" s="805">
        <f>I64</f>
        <v>11.23</v>
      </c>
      <c r="J65" s="805"/>
      <c r="K65" s="805"/>
      <c r="L65" s="774" t="s">
        <v>894</v>
      </c>
      <c r="M65" s="774"/>
      <c r="N65" s="775"/>
      <c r="O65" s="28"/>
    </row>
    <row r="66" spans="2:15" x14ac:dyDescent="0.35">
      <c r="B66" s="27"/>
      <c r="C66" s="803" t="s">
        <v>956</v>
      </c>
      <c r="D66" s="782"/>
      <c r="E66" s="782"/>
      <c r="F66" s="782"/>
      <c r="G66" s="782"/>
      <c r="H66" s="782"/>
      <c r="I66" s="805">
        <v>7.02</v>
      </c>
      <c r="J66" s="805"/>
      <c r="K66" s="805"/>
      <c r="L66" s="774" t="s">
        <v>894</v>
      </c>
      <c r="M66" s="774"/>
      <c r="N66" s="775"/>
      <c r="O66" s="28"/>
    </row>
    <row r="67" spans="2:15" x14ac:dyDescent="0.35">
      <c r="B67" s="27"/>
      <c r="C67" s="539" t="s">
        <v>1005</v>
      </c>
      <c r="D67" s="540"/>
      <c r="E67" s="540"/>
      <c r="F67" s="540"/>
      <c r="G67" s="540"/>
      <c r="H67" s="540"/>
      <c r="I67" s="805">
        <v>1850</v>
      </c>
      <c r="J67" s="805"/>
      <c r="K67" s="805"/>
      <c r="L67" s="774" t="s">
        <v>1006</v>
      </c>
      <c r="M67" s="774"/>
      <c r="N67" s="775"/>
      <c r="O67" s="28"/>
    </row>
    <row r="68" spans="2:15" x14ac:dyDescent="0.35">
      <c r="B68" s="27"/>
      <c r="C68" s="535" t="s">
        <v>1008</v>
      </c>
      <c r="D68" s="536"/>
      <c r="E68" s="536"/>
      <c r="F68" s="536"/>
      <c r="G68" s="536"/>
      <c r="H68" s="536"/>
      <c r="I68" s="792">
        <v>20000</v>
      </c>
      <c r="J68" s="792"/>
      <c r="K68" s="792"/>
      <c r="L68" s="819" t="s">
        <v>1007</v>
      </c>
      <c r="M68" s="819"/>
      <c r="N68" s="820"/>
      <c r="O68" s="28"/>
    </row>
    <row r="69" spans="2:15" ht="24" thickBot="1" x14ac:dyDescent="0.4">
      <c r="B69" s="45"/>
      <c r="C69" s="46"/>
      <c r="D69" s="46"/>
      <c r="E69" s="46"/>
      <c r="F69" s="46"/>
      <c r="G69" s="46"/>
      <c r="H69" s="46"/>
      <c r="I69" s="47"/>
      <c r="J69" s="47"/>
      <c r="K69" s="47"/>
      <c r="L69" s="46"/>
      <c r="M69" s="46"/>
      <c r="N69" s="46"/>
      <c r="O69" s="48"/>
    </row>
  </sheetData>
  <sheetProtection selectLockedCells="1"/>
  <mergeCells count="130">
    <mergeCell ref="B34:B35"/>
    <mergeCell ref="L5:N5"/>
    <mergeCell ref="L6:N6"/>
    <mergeCell ref="L7:N7"/>
    <mergeCell ref="L68:N68"/>
    <mergeCell ref="L67:N67"/>
    <mergeCell ref="I67:K67"/>
    <mergeCell ref="I68:K68"/>
    <mergeCell ref="C35:H35"/>
    <mergeCell ref="I35:K35"/>
    <mergeCell ref="L35:N35"/>
    <mergeCell ref="I30:K30"/>
    <mergeCell ref="C32:N32"/>
    <mergeCell ref="C33:H33"/>
    <mergeCell ref="I33:K33"/>
    <mergeCell ref="L33:N33"/>
    <mergeCell ref="C34:H34"/>
    <mergeCell ref="I34:K34"/>
    <mergeCell ref="L34:N34"/>
    <mergeCell ref="C46:H46"/>
    <mergeCell ref="L47:N47"/>
    <mergeCell ref="L48:N48"/>
    <mergeCell ref="I46:J46"/>
    <mergeCell ref="I47:J47"/>
    <mergeCell ref="I48:J48"/>
    <mergeCell ref="C39:N39"/>
    <mergeCell ref="C49:N49"/>
    <mergeCell ref="C50:H50"/>
    <mergeCell ref="I29:K29"/>
    <mergeCell ref="L29:N29"/>
    <mergeCell ref="B2:O2"/>
    <mergeCell ref="I16:K16"/>
    <mergeCell ref="C11:N11"/>
    <mergeCell ref="C12:H12"/>
    <mergeCell ref="I12:K12"/>
    <mergeCell ref="L12:N12"/>
    <mergeCell ref="C20:H20"/>
    <mergeCell ref="I20:K20"/>
    <mergeCell ref="I21:K21"/>
    <mergeCell ref="L21:N21"/>
    <mergeCell ref="I22:K22"/>
    <mergeCell ref="L22:N22"/>
    <mergeCell ref="I24:K24"/>
    <mergeCell ref="C21:H21"/>
    <mergeCell ref="C22:H22"/>
    <mergeCell ref="I7:K7"/>
    <mergeCell ref="I8:K8"/>
    <mergeCell ref="C4:N4"/>
    <mergeCell ref="I6:K6"/>
    <mergeCell ref="I51:K51"/>
    <mergeCell ref="L51:N51"/>
    <mergeCell ref="I52:K52"/>
    <mergeCell ref="L52:N52"/>
    <mergeCell ref="I53:K53"/>
    <mergeCell ref="L53:N53"/>
    <mergeCell ref="L46:N46"/>
    <mergeCell ref="C45:N45"/>
    <mergeCell ref="J40:N40"/>
    <mergeCell ref="C47:H47"/>
    <mergeCell ref="C43:N43"/>
    <mergeCell ref="C42:N42"/>
    <mergeCell ref="C7:H7"/>
    <mergeCell ref="C8:H8"/>
    <mergeCell ref="C9:H9"/>
    <mergeCell ref="C13:H13"/>
    <mergeCell ref="C14:H14"/>
    <mergeCell ref="C17:H17"/>
    <mergeCell ref="L14:N14"/>
    <mergeCell ref="L17:N17"/>
    <mergeCell ref="L36:N36"/>
    <mergeCell ref="L27:N27"/>
    <mergeCell ref="C28:H28"/>
    <mergeCell ref="I28:K28"/>
    <mergeCell ref="L28:N28"/>
    <mergeCell ref="C29:H29"/>
    <mergeCell ref="I9:K9"/>
    <mergeCell ref="I13:K13"/>
    <mergeCell ref="C26:N26"/>
    <mergeCell ref="C27:H27"/>
    <mergeCell ref="L15:N15"/>
    <mergeCell ref="I15:K15"/>
    <mergeCell ref="C15:H15"/>
    <mergeCell ref="C6:H6"/>
    <mergeCell ref="C5:H5"/>
    <mergeCell ref="I5:K5"/>
    <mergeCell ref="I23:K23"/>
    <mergeCell ref="I64:K64"/>
    <mergeCell ref="C66:H66"/>
    <mergeCell ref="I66:K66"/>
    <mergeCell ref="L66:N66"/>
    <mergeCell ref="C65:H65"/>
    <mergeCell ref="L64:N64"/>
    <mergeCell ref="L65:N65"/>
    <mergeCell ref="I65:K65"/>
    <mergeCell ref="C60:N60"/>
    <mergeCell ref="C61:H61"/>
    <mergeCell ref="I61:K61"/>
    <mergeCell ref="L61:N61"/>
    <mergeCell ref="C62:H62"/>
    <mergeCell ref="I62:K62"/>
    <mergeCell ref="L62:N62"/>
    <mergeCell ref="C63:H63"/>
    <mergeCell ref="I63:K63"/>
    <mergeCell ref="C37:N37"/>
    <mergeCell ref="I38:N38"/>
    <mergeCell ref="C19:N19"/>
    <mergeCell ref="L63:N63"/>
    <mergeCell ref="I50:K50"/>
    <mergeCell ref="L50:N50"/>
    <mergeCell ref="C41:N41"/>
    <mergeCell ref="C36:H36"/>
    <mergeCell ref="C38:H38"/>
    <mergeCell ref="L8:N8"/>
    <mergeCell ref="L9:N9"/>
    <mergeCell ref="L13:N13"/>
    <mergeCell ref="L20:N20"/>
    <mergeCell ref="I27:K27"/>
    <mergeCell ref="I14:K14"/>
    <mergeCell ref="I17:K17"/>
    <mergeCell ref="I36:K36"/>
    <mergeCell ref="L57:N57"/>
    <mergeCell ref="I55:J55"/>
    <mergeCell ref="I56:J56"/>
    <mergeCell ref="I57:J57"/>
    <mergeCell ref="I58:J58"/>
    <mergeCell ref="L58:N58"/>
    <mergeCell ref="C54:N54"/>
    <mergeCell ref="C55:H55"/>
    <mergeCell ref="L55:N55"/>
    <mergeCell ref="L56:N56"/>
  </mergeCells>
  <pageMargins left="0.511811024" right="0.511811024" top="0.78740157499999996" bottom="0.78740157499999996" header="0.31496062000000002" footer="0.31496062000000002"/>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8F532F-A42E-4279-BE11-536E53638BAA}">
  <sheetPr codeName="Planilha4">
    <tabColor rgb="FF642E33"/>
  </sheetPr>
  <dimension ref="B1:O99"/>
  <sheetViews>
    <sheetView topLeftCell="A73" zoomScale="44" zoomScaleNormal="44" workbookViewId="0">
      <selection activeCell="D78" sqref="D78"/>
    </sheetView>
  </sheetViews>
  <sheetFormatPr defaultRowHeight="31.5" x14ac:dyDescent="0.25"/>
  <cols>
    <col min="1" max="1" width="9.140625" style="476"/>
    <col min="2" max="2" width="10.85546875" style="476" customWidth="1"/>
    <col min="3" max="3" width="128" style="476" bestFit="1" customWidth="1"/>
    <col min="4" max="4" width="39.7109375" style="401" customWidth="1"/>
    <col min="5" max="5" width="13.28515625" style="476" customWidth="1"/>
    <col min="6" max="7" width="10.140625" style="476" customWidth="1"/>
    <col min="8" max="8" width="106" style="476" bestFit="1" customWidth="1"/>
    <col min="9" max="9" width="26.5703125" style="477" customWidth="1"/>
    <col min="10" max="10" width="6.85546875" style="477" customWidth="1"/>
    <col min="11" max="11" width="9.140625" style="476"/>
    <col min="12" max="12" width="19.140625" style="476" bestFit="1" customWidth="1"/>
    <col min="13" max="16384" width="9.140625" style="476"/>
  </cols>
  <sheetData>
    <row r="1" spans="2:11" ht="32.25" thickBot="1" x14ac:dyDescent="0.3"/>
    <row r="2" spans="2:11" s="501" customFormat="1" ht="89.25" customHeight="1" thickBot="1" x14ac:dyDescent="0.3">
      <c r="B2" s="825" t="s">
        <v>844</v>
      </c>
      <c r="C2" s="826"/>
      <c r="D2" s="826"/>
      <c r="E2" s="827"/>
      <c r="G2" s="825" t="s">
        <v>656</v>
      </c>
      <c r="H2" s="826"/>
      <c r="I2" s="826"/>
      <c r="J2" s="826"/>
      <c r="K2" s="827"/>
    </row>
    <row r="3" spans="2:11" ht="32.25" thickBot="1" x14ac:dyDescent="0.3">
      <c r="B3" s="481"/>
      <c r="C3" s="705"/>
      <c r="D3" s="706"/>
      <c r="E3" s="484"/>
      <c r="G3" s="481"/>
      <c r="H3" s="482"/>
      <c r="I3" s="483"/>
      <c r="J3" s="483"/>
      <c r="K3" s="484"/>
    </row>
    <row r="4" spans="2:11" ht="31.5" customHeight="1" thickBot="1" x14ac:dyDescent="0.3">
      <c r="B4" s="478"/>
      <c r="C4" s="828" t="s">
        <v>605</v>
      </c>
      <c r="D4" s="829"/>
      <c r="E4" s="480"/>
      <c r="G4" s="478"/>
      <c r="H4" s="828" t="s">
        <v>10</v>
      </c>
      <c r="I4" s="835"/>
      <c r="J4" s="829"/>
      <c r="K4" s="480"/>
    </row>
    <row r="5" spans="2:11" x14ac:dyDescent="0.25">
      <c r="B5" s="478"/>
      <c r="C5" s="479"/>
      <c r="D5" s="470"/>
      <c r="E5" s="480"/>
      <c r="G5" s="478"/>
      <c r="K5" s="480"/>
    </row>
    <row r="6" spans="2:11" ht="61.5" x14ac:dyDescent="0.25">
      <c r="B6" s="478"/>
      <c r="C6" s="485" t="s">
        <v>592</v>
      </c>
      <c r="D6" s="471" t="s">
        <v>591</v>
      </c>
      <c r="E6" s="480"/>
      <c r="G6" s="478"/>
      <c r="H6" s="486" t="s">
        <v>632</v>
      </c>
      <c r="I6" s="831" t="s">
        <v>680</v>
      </c>
      <c r="J6" s="832"/>
      <c r="K6" s="480"/>
    </row>
    <row r="7" spans="2:11" x14ac:dyDescent="0.25">
      <c r="B7" s="478"/>
      <c r="C7" s="487" t="s">
        <v>652</v>
      </c>
      <c r="D7" s="628">
        <v>7</v>
      </c>
      <c r="E7" s="480"/>
      <c r="G7" s="478"/>
      <c r="H7" s="488" t="s">
        <v>665</v>
      </c>
      <c r="I7" s="836">
        <f>(D50+D44+D43)/D7</f>
        <v>20.75714285714286</v>
      </c>
      <c r="J7" s="837"/>
      <c r="K7" s="480"/>
    </row>
    <row r="8" spans="2:11" x14ac:dyDescent="0.25">
      <c r="B8" s="478"/>
      <c r="C8" s="502" t="s">
        <v>607</v>
      </c>
      <c r="D8" s="503"/>
      <c r="E8" s="480"/>
      <c r="G8" s="478"/>
      <c r="H8" s="488" t="s">
        <v>666</v>
      </c>
      <c r="I8" s="836">
        <f>D9/I7</f>
        <v>84.308327598072935</v>
      </c>
      <c r="J8" s="837"/>
      <c r="K8" s="480"/>
    </row>
    <row r="9" spans="2:11" x14ac:dyDescent="0.25">
      <c r="B9" s="478"/>
      <c r="C9" s="701" t="s">
        <v>896</v>
      </c>
      <c r="D9" s="628">
        <v>1750</v>
      </c>
      <c r="E9" s="480"/>
      <c r="G9" s="478"/>
      <c r="H9" s="488" t="s">
        <v>631</v>
      </c>
      <c r="I9" s="833">
        <f>(D9+(D9*1%))</f>
        <v>1767.5</v>
      </c>
      <c r="J9" s="834"/>
      <c r="K9" s="480"/>
    </row>
    <row r="10" spans="2:11" x14ac:dyDescent="0.25">
      <c r="B10" s="478"/>
      <c r="C10" s="504" t="s">
        <v>897</v>
      </c>
      <c r="D10" s="628">
        <v>240</v>
      </c>
      <c r="E10" s="480"/>
      <c r="G10" s="478"/>
      <c r="H10" s="488" t="s">
        <v>657</v>
      </c>
      <c r="I10" s="836">
        <f>((D49*I9)/(365/7))</f>
        <v>80.560619872379206</v>
      </c>
      <c r="J10" s="837"/>
      <c r="K10" s="480"/>
    </row>
    <row r="11" spans="2:11" x14ac:dyDescent="0.25">
      <c r="B11" s="478"/>
      <c r="C11" s="489" t="s">
        <v>608</v>
      </c>
      <c r="D11" s="472"/>
      <c r="E11" s="480"/>
      <c r="G11" s="478"/>
      <c r="H11" s="488" t="s">
        <v>683</v>
      </c>
      <c r="I11" s="836">
        <f>((D43+D29)+5)/D7</f>
        <v>4.8571428571428568</v>
      </c>
      <c r="J11" s="837"/>
      <c r="K11" s="480"/>
    </row>
    <row r="12" spans="2:11" x14ac:dyDescent="0.25">
      <c r="B12" s="478"/>
      <c r="C12" s="505" t="s">
        <v>36</v>
      </c>
      <c r="D12" s="503"/>
      <c r="E12" s="480"/>
      <c r="G12" s="478"/>
      <c r="H12" s="488" t="s">
        <v>658</v>
      </c>
      <c r="I12" s="836">
        <f>(I10*I11)</f>
        <v>391.29443938012753</v>
      </c>
      <c r="J12" s="837"/>
      <c r="K12" s="480"/>
    </row>
    <row r="13" spans="2:11" x14ac:dyDescent="0.25">
      <c r="B13" s="478"/>
      <c r="C13" s="701" t="s">
        <v>610</v>
      </c>
      <c r="D13" s="629">
        <v>180</v>
      </c>
      <c r="E13" s="480"/>
      <c r="G13" s="478"/>
      <c r="H13" s="490" t="s">
        <v>659</v>
      </c>
      <c r="I13" s="842">
        <f>((I10*(365/7))/I12)</f>
        <v>10.73529411764706</v>
      </c>
      <c r="J13" s="844"/>
      <c r="K13" s="480"/>
    </row>
    <row r="14" spans="2:11" ht="32.25" thickBot="1" x14ac:dyDescent="0.3">
      <c r="B14" s="478"/>
      <c r="C14" s="504" t="s">
        <v>611</v>
      </c>
      <c r="D14" s="629">
        <v>230</v>
      </c>
      <c r="E14" s="480"/>
      <c r="G14" s="478"/>
      <c r="I14" s="845"/>
      <c r="J14" s="845"/>
      <c r="K14" s="480"/>
    </row>
    <row r="15" spans="2:11" ht="32.25" thickBot="1" x14ac:dyDescent="0.3">
      <c r="B15" s="478"/>
      <c r="C15" s="487" t="s">
        <v>121</v>
      </c>
      <c r="D15" s="472"/>
      <c r="E15" s="480"/>
      <c r="G15" s="478"/>
      <c r="H15" s="828" t="s">
        <v>660</v>
      </c>
      <c r="I15" s="835"/>
      <c r="J15" s="829"/>
      <c r="K15" s="480"/>
    </row>
    <row r="16" spans="2:11" x14ac:dyDescent="0.25">
      <c r="B16" s="478"/>
      <c r="C16" s="504" t="s">
        <v>609</v>
      </c>
      <c r="D16" s="629">
        <v>24</v>
      </c>
      <c r="E16" s="480"/>
      <c r="G16" s="478"/>
      <c r="K16" s="480"/>
    </row>
    <row r="17" spans="2:11" x14ac:dyDescent="0.25">
      <c r="B17" s="478"/>
      <c r="C17" s="701" t="s">
        <v>612</v>
      </c>
      <c r="D17" s="629">
        <v>65</v>
      </c>
      <c r="E17" s="480"/>
      <c r="G17" s="478"/>
      <c r="H17" s="486" t="s">
        <v>632</v>
      </c>
      <c r="I17" s="831" t="s">
        <v>680</v>
      </c>
      <c r="J17" s="832"/>
      <c r="K17" s="480"/>
    </row>
    <row r="18" spans="2:11" ht="25.5" customHeight="1" x14ac:dyDescent="0.25">
      <c r="B18" s="478"/>
      <c r="C18" s="504" t="s">
        <v>694</v>
      </c>
      <c r="D18" s="629">
        <v>160</v>
      </c>
      <c r="E18" s="480"/>
      <c r="G18" s="478"/>
      <c r="H18" s="488" t="s">
        <v>661</v>
      </c>
      <c r="I18" s="839">
        <f>(D26*D9)</f>
        <v>717.5</v>
      </c>
      <c r="J18" s="838"/>
      <c r="K18" s="480"/>
    </row>
    <row r="19" spans="2:11" x14ac:dyDescent="0.25">
      <c r="B19" s="478"/>
      <c r="C19" s="701" t="s">
        <v>613</v>
      </c>
      <c r="D19" s="629">
        <v>172</v>
      </c>
      <c r="E19" s="480"/>
      <c r="G19" s="478"/>
      <c r="H19" s="488" t="s">
        <v>662</v>
      </c>
      <c r="I19" s="840">
        <f>(((I18/(365/7)))*((D14-D13)/7))</f>
        <v>98.287671232876718</v>
      </c>
      <c r="J19" s="841"/>
      <c r="K19" s="480"/>
    </row>
    <row r="20" spans="2:11" x14ac:dyDescent="0.25">
      <c r="B20" s="478"/>
      <c r="C20" s="502" t="s">
        <v>618</v>
      </c>
      <c r="D20" s="503"/>
      <c r="E20" s="480"/>
      <c r="G20" s="478"/>
      <c r="H20" s="488" t="s">
        <v>663</v>
      </c>
      <c r="I20" s="836">
        <f>I9/150</f>
        <v>11.783333333333333</v>
      </c>
      <c r="J20" s="837"/>
      <c r="K20" s="480"/>
    </row>
    <row r="21" spans="2:11" x14ac:dyDescent="0.25">
      <c r="B21" s="478"/>
      <c r="C21" s="701" t="s">
        <v>623</v>
      </c>
      <c r="D21" s="630">
        <v>0.41</v>
      </c>
      <c r="E21" s="480"/>
      <c r="G21" s="478"/>
      <c r="H21" s="488" t="s">
        <v>606</v>
      </c>
      <c r="I21" s="836">
        <f>(I9/100)</f>
        <v>17.675000000000001</v>
      </c>
      <c r="J21" s="837"/>
      <c r="K21" s="480"/>
    </row>
    <row r="22" spans="2:11" x14ac:dyDescent="0.25">
      <c r="B22" s="478"/>
      <c r="C22" s="502" t="s">
        <v>616</v>
      </c>
      <c r="D22" s="503"/>
      <c r="E22" s="480"/>
      <c r="G22" s="478"/>
      <c r="H22" s="488" t="s">
        <v>664</v>
      </c>
      <c r="I22" s="833">
        <f>I9+I19+I20+I21</f>
        <v>1895.2460045662099</v>
      </c>
      <c r="J22" s="834"/>
      <c r="K22" s="480"/>
    </row>
    <row r="23" spans="2:11" x14ac:dyDescent="0.25">
      <c r="B23" s="478"/>
      <c r="C23" s="701" t="s">
        <v>898</v>
      </c>
      <c r="D23" s="628">
        <v>220</v>
      </c>
      <c r="E23" s="480"/>
      <c r="G23" s="478"/>
      <c r="H23" s="488" t="s">
        <v>915</v>
      </c>
      <c r="I23" s="833">
        <f>I9-$I$12</f>
        <v>1376.2055606198724</v>
      </c>
      <c r="J23" s="834"/>
      <c r="K23" s="480"/>
    </row>
    <row r="24" spans="2:11" x14ac:dyDescent="0.25">
      <c r="B24" s="478"/>
      <c r="C24" s="504" t="s">
        <v>899</v>
      </c>
      <c r="D24" s="628">
        <v>260</v>
      </c>
      <c r="E24" s="480"/>
      <c r="G24" s="478"/>
      <c r="H24" s="488" t="s">
        <v>681</v>
      </c>
      <c r="I24" s="836">
        <f>I8</f>
        <v>84.308327598072935</v>
      </c>
      <c r="J24" s="838"/>
      <c r="K24" s="480"/>
    </row>
    <row r="25" spans="2:11" x14ac:dyDescent="0.25">
      <c r="B25" s="478"/>
      <c r="C25" s="489" t="s">
        <v>630</v>
      </c>
      <c r="D25" s="472"/>
      <c r="E25" s="480"/>
      <c r="G25" s="478"/>
      <c r="H25" s="488" t="s">
        <v>682</v>
      </c>
      <c r="I25" s="839">
        <f>(I24*I7)*3%</f>
        <v>52.499999999999993</v>
      </c>
      <c r="J25" s="838"/>
      <c r="K25" s="480"/>
    </row>
    <row r="26" spans="2:11" x14ac:dyDescent="0.25">
      <c r="B26" s="478"/>
      <c r="C26" s="504" t="s">
        <v>654</v>
      </c>
      <c r="D26" s="630">
        <v>0.41</v>
      </c>
      <c r="E26" s="480"/>
      <c r="G26" s="478"/>
      <c r="H26" s="490" t="s">
        <v>667</v>
      </c>
      <c r="I26" s="842">
        <f>(I22+I25+I24)-(I12)</f>
        <v>1640.7598927841555</v>
      </c>
      <c r="J26" s="843"/>
      <c r="K26" s="480"/>
    </row>
    <row r="27" spans="2:11" ht="31.5" customHeight="1" thickBot="1" x14ac:dyDescent="0.3">
      <c r="B27" s="478"/>
      <c r="C27" s="701" t="s">
        <v>655</v>
      </c>
      <c r="D27" s="630">
        <v>1</v>
      </c>
      <c r="E27" s="480"/>
      <c r="G27" s="478"/>
      <c r="I27" s="845"/>
      <c r="J27" s="845"/>
      <c r="K27" s="480"/>
    </row>
    <row r="28" spans="2:11" ht="32.25" thickBot="1" x14ac:dyDescent="0.3">
      <c r="B28" s="478"/>
      <c r="C28" s="502" t="s">
        <v>621</v>
      </c>
      <c r="D28" s="503"/>
      <c r="E28" s="480"/>
      <c r="G28" s="478"/>
      <c r="H28" s="828" t="s">
        <v>124</v>
      </c>
      <c r="I28" s="835"/>
      <c r="J28" s="829"/>
      <c r="K28" s="480"/>
    </row>
    <row r="29" spans="2:11" x14ac:dyDescent="0.25">
      <c r="B29" s="478"/>
      <c r="C29" s="701" t="s">
        <v>622</v>
      </c>
      <c r="D29" s="628">
        <v>5</v>
      </c>
      <c r="E29" s="480"/>
      <c r="G29" s="478"/>
      <c r="K29" s="480"/>
    </row>
    <row r="30" spans="2:11" ht="25.5" customHeight="1" x14ac:dyDescent="0.25">
      <c r="B30" s="478"/>
      <c r="C30" s="502" t="s">
        <v>619</v>
      </c>
      <c r="D30" s="503"/>
      <c r="E30" s="480"/>
      <c r="G30" s="478"/>
      <c r="H30" s="486" t="s">
        <v>632</v>
      </c>
      <c r="I30" s="831" t="s">
        <v>680</v>
      </c>
      <c r="J30" s="832"/>
      <c r="K30" s="480"/>
    </row>
    <row r="31" spans="2:11" x14ac:dyDescent="0.25">
      <c r="B31" s="830" t="s">
        <v>1088</v>
      </c>
      <c r="C31" s="701" t="s">
        <v>1089</v>
      </c>
      <c r="D31" s="473">
        <f>365-(($D$43+$D$44)*$D$49)</f>
        <v>37.027607761427305</v>
      </c>
      <c r="E31" s="480"/>
      <c r="G31" s="478"/>
      <c r="H31" s="488" t="s">
        <v>669</v>
      </c>
      <c r="I31" s="836">
        <f>(I9*D54)/(365/D7)</f>
        <v>1043.9367365542385</v>
      </c>
      <c r="J31" s="837"/>
      <c r="K31" s="480"/>
    </row>
    <row r="32" spans="2:11" x14ac:dyDescent="0.25">
      <c r="B32" s="830"/>
      <c r="C32" s="701" t="s">
        <v>1090</v>
      </c>
      <c r="D32" s="473">
        <f>$D$31/$D$49</f>
        <v>15.580000000000018</v>
      </c>
      <c r="E32" s="480"/>
      <c r="G32" s="478"/>
      <c r="H32" s="488" t="s">
        <v>671</v>
      </c>
      <c r="I32" s="836">
        <f>(I31*0.35)</f>
        <v>365.37785779398342</v>
      </c>
      <c r="J32" s="837"/>
      <c r="K32" s="480"/>
    </row>
    <row r="33" spans="2:15" x14ac:dyDescent="0.25">
      <c r="B33" s="478"/>
      <c r="C33" s="502" t="s">
        <v>686</v>
      </c>
      <c r="D33" s="503"/>
      <c r="E33" s="480"/>
      <c r="G33" s="478"/>
      <c r="H33" s="490" t="s">
        <v>670</v>
      </c>
      <c r="I33" s="846">
        <f>(I32*((D17-D16)/D7+(D29/D7)))</f>
        <v>2401.0544940747482</v>
      </c>
      <c r="J33" s="847"/>
      <c r="K33" s="480"/>
    </row>
    <row r="34" spans="2:15" ht="31.5" customHeight="1" thickBot="1" x14ac:dyDescent="0.3">
      <c r="B34" s="478"/>
      <c r="C34" s="701" t="s">
        <v>687</v>
      </c>
      <c r="D34" s="473">
        <f>($D$9*$D$49)*(1+100%-$D$46)/(365/7)</f>
        <v>87.101185050136706</v>
      </c>
      <c r="E34" s="480"/>
      <c r="G34" s="478"/>
      <c r="K34" s="480"/>
    </row>
    <row r="35" spans="2:15" ht="32.25" thickBot="1" x14ac:dyDescent="0.3">
      <c r="B35" s="478"/>
      <c r="C35" s="701"/>
      <c r="E35" s="480"/>
      <c r="G35" s="478"/>
      <c r="H35" s="828" t="s">
        <v>672</v>
      </c>
      <c r="I35" s="835"/>
      <c r="J35" s="829"/>
      <c r="K35" s="480"/>
    </row>
    <row r="36" spans="2:15" ht="26.25" customHeight="1" thickBot="1" x14ac:dyDescent="0.3">
      <c r="B36" s="478"/>
      <c r="C36" s="828" t="s">
        <v>1042</v>
      </c>
      <c r="D36" s="829"/>
      <c r="E36" s="480"/>
      <c r="G36" s="478"/>
      <c r="K36" s="480"/>
    </row>
    <row r="37" spans="2:15" x14ac:dyDescent="0.25">
      <c r="B37" s="478"/>
      <c r="C37" s="479"/>
      <c r="D37" s="470"/>
      <c r="E37" s="480"/>
      <c r="G37" s="478"/>
      <c r="H37" s="486" t="s">
        <v>632</v>
      </c>
      <c r="I37" s="491" t="s">
        <v>680</v>
      </c>
      <c r="J37" s="492"/>
      <c r="K37" s="480"/>
    </row>
    <row r="38" spans="2:15" ht="61.5" x14ac:dyDescent="0.25">
      <c r="B38" s="478"/>
      <c r="C38" s="485" t="s">
        <v>592</v>
      </c>
      <c r="D38" s="471" t="s">
        <v>591</v>
      </c>
      <c r="E38" s="480"/>
      <c r="G38" s="478"/>
      <c r="H38" s="494" t="s">
        <v>675</v>
      </c>
      <c r="I38" s="848">
        <f>((D67-D66)/D71)</f>
        <v>95</v>
      </c>
      <c r="J38" s="849"/>
      <c r="K38" s="480"/>
    </row>
    <row r="39" spans="2:15" x14ac:dyDescent="0.25">
      <c r="B39" s="478"/>
      <c r="C39" s="493" t="s">
        <v>624</v>
      </c>
      <c r="D39" s="628">
        <v>2.8</v>
      </c>
      <c r="E39" s="480"/>
      <c r="G39" s="478"/>
      <c r="H39" s="488" t="s">
        <v>674</v>
      </c>
      <c r="I39" s="850">
        <f>I38/D7</f>
        <v>13.571428571428571</v>
      </c>
      <c r="J39" s="851"/>
      <c r="K39" s="480"/>
    </row>
    <row r="40" spans="2:15" x14ac:dyDescent="0.25">
      <c r="B40" s="478"/>
      <c r="C40" s="504" t="s">
        <v>812</v>
      </c>
      <c r="D40" s="628">
        <v>3</v>
      </c>
      <c r="E40" s="480"/>
      <c r="G40" s="478"/>
      <c r="H40" s="488" t="s">
        <v>676</v>
      </c>
      <c r="I40" s="836">
        <f>I31</f>
        <v>1043.9367365542385</v>
      </c>
      <c r="J40" s="838"/>
      <c r="K40" s="480"/>
    </row>
    <row r="41" spans="2:15" x14ac:dyDescent="0.25">
      <c r="B41" s="478"/>
      <c r="C41" s="701" t="s">
        <v>811</v>
      </c>
      <c r="D41" s="630">
        <v>0.5</v>
      </c>
      <c r="E41" s="480"/>
      <c r="G41" s="478"/>
      <c r="H41" s="488" t="s">
        <v>677</v>
      </c>
      <c r="I41" s="852">
        <f>I40*I39</f>
        <v>14167.712853236093</v>
      </c>
      <c r="J41" s="853"/>
      <c r="K41" s="480"/>
      <c r="O41" s="495"/>
    </row>
    <row r="42" spans="2:15" ht="63" x14ac:dyDescent="0.25">
      <c r="B42" s="478"/>
      <c r="C42" s="506" t="s">
        <v>813</v>
      </c>
      <c r="D42" s="631">
        <v>30</v>
      </c>
      <c r="E42" s="480"/>
      <c r="G42" s="478"/>
      <c r="H42" s="488" t="s">
        <v>679</v>
      </c>
      <c r="I42" s="836">
        <f>I40*(0.01*D67)</f>
        <v>1148.3304102096624</v>
      </c>
      <c r="J42" s="837"/>
      <c r="K42" s="480"/>
    </row>
    <row r="43" spans="2:15" x14ac:dyDescent="0.25">
      <c r="B43" s="478"/>
      <c r="C43" s="701" t="s">
        <v>650</v>
      </c>
      <c r="D43" s="628">
        <v>24</v>
      </c>
      <c r="E43" s="480"/>
      <c r="G43" s="478"/>
      <c r="H43" s="490" t="s">
        <v>678</v>
      </c>
      <c r="I43" s="842">
        <f>I42*I39</f>
        <v>15584.484138559705</v>
      </c>
      <c r="J43" s="844"/>
      <c r="K43" s="480"/>
    </row>
    <row r="44" spans="2:15" ht="32.25" thickBot="1" x14ac:dyDescent="0.3">
      <c r="B44" s="478"/>
      <c r="C44" s="504" t="s">
        <v>651</v>
      </c>
      <c r="D44" s="628">
        <v>114</v>
      </c>
      <c r="E44" s="480"/>
      <c r="G44" s="496"/>
      <c r="H44" s="497"/>
      <c r="I44" s="498"/>
      <c r="J44" s="498"/>
      <c r="K44" s="499"/>
    </row>
    <row r="45" spans="2:15" x14ac:dyDescent="0.25">
      <c r="B45" s="478"/>
      <c r="C45" s="701" t="s">
        <v>625</v>
      </c>
      <c r="D45" s="632">
        <v>8.43E-2</v>
      </c>
      <c r="E45" s="480"/>
    </row>
    <row r="46" spans="2:15" x14ac:dyDescent="0.25">
      <c r="B46" s="478"/>
      <c r="C46" s="504" t="s">
        <v>626</v>
      </c>
      <c r="D46" s="633">
        <v>0.90800000000000003</v>
      </c>
      <c r="E46" s="480"/>
    </row>
    <row r="47" spans="2:15" x14ac:dyDescent="0.25">
      <c r="B47" s="478"/>
      <c r="C47" s="701" t="s">
        <v>629</v>
      </c>
      <c r="D47" s="633">
        <v>1.4500000000000001E-2</v>
      </c>
      <c r="E47" s="480"/>
    </row>
    <row r="48" spans="2:15" x14ac:dyDescent="0.25">
      <c r="B48" s="478"/>
      <c r="C48" s="504" t="s">
        <v>684</v>
      </c>
      <c r="D48" s="474">
        <f>((($D$44+$D$43+$D$50)*($D$9*$D$46))+($D$9*(100%-$D$46))*($D$44+$D$43+$D$50+90))/$D$9</f>
        <v>153.58000000000001</v>
      </c>
      <c r="E48" s="480"/>
    </row>
    <row r="49" spans="2:5" x14ac:dyDescent="0.25">
      <c r="B49" s="478"/>
      <c r="C49" s="701" t="s">
        <v>653</v>
      </c>
      <c r="D49" s="474">
        <f>365/$D$48</f>
        <v>2.3766115379606716</v>
      </c>
      <c r="E49" s="480"/>
    </row>
    <row r="50" spans="2:5" x14ac:dyDescent="0.25">
      <c r="B50" s="478"/>
      <c r="C50" s="504" t="s">
        <v>685</v>
      </c>
      <c r="D50" s="628">
        <v>7.3</v>
      </c>
      <c r="E50" s="480"/>
    </row>
    <row r="51" spans="2:5" x14ac:dyDescent="0.25">
      <c r="B51" s="478"/>
      <c r="C51" s="701" t="s">
        <v>617</v>
      </c>
      <c r="D51" s="628">
        <v>14.24</v>
      </c>
      <c r="E51" s="480"/>
    </row>
    <row r="52" spans="2:5" x14ac:dyDescent="0.25">
      <c r="B52" s="478"/>
      <c r="C52" s="504" t="s">
        <v>627</v>
      </c>
      <c r="D52" s="630">
        <v>0.04</v>
      </c>
      <c r="E52" s="480"/>
    </row>
    <row r="53" spans="2:5" x14ac:dyDescent="0.25">
      <c r="B53" s="478"/>
      <c r="C53" s="701" t="s">
        <v>628</v>
      </c>
      <c r="D53" s="630">
        <v>0.01</v>
      </c>
      <c r="E53" s="480"/>
    </row>
    <row r="54" spans="2:5" x14ac:dyDescent="0.25">
      <c r="B54" s="478"/>
      <c r="C54" s="504" t="s">
        <v>668</v>
      </c>
      <c r="D54" s="500">
        <f>$D$49*$D$51*(100%-$D$94)</f>
        <v>30.797082953509566</v>
      </c>
      <c r="E54" s="480"/>
    </row>
    <row r="55" spans="2:5" ht="32.25" thickBot="1" x14ac:dyDescent="0.3">
      <c r="B55" s="478"/>
      <c r="C55" s="701"/>
      <c r="E55" s="480"/>
    </row>
    <row r="56" spans="2:5" ht="32.25" thickBot="1" x14ac:dyDescent="0.3">
      <c r="B56" s="478"/>
      <c r="C56" s="828" t="s">
        <v>1043</v>
      </c>
      <c r="D56" s="829"/>
      <c r="E56" s="480"/>
    </row>
    <row r="57" spans="2:5" x14ac:dyDescent="0.25">
      <c r="B57" s="478"/>
      <c r="C57" s="479"/>
      <c r="D57" s="470"/>
      <c r="E57" s="480"/>
    </row>
    <row r="58" spans="2:5" ht="61.5" x14ac:dyDescent="0.25">
      <c r="B58" s="478"/>
      <c r="C58" s="485" t="s">
        <v>592</v>
      </c>
      <c r="D58" s="471" t="s">
        <v>591</v>
      </c>
      <c r="E58" s="480"/>
    </row>
    <row r="59" spans="2:5" x14ac:dyDescent="0.25">
      <c r="B59" s="478"/>
      <c r="C59" s="489" t="s">
        <v>620</v>
      </c>
      <c r="D59" s="472"/>
      <c r="E59" s="480"/>
    </row>
    <row r="60" spans="2:5" x14ac:dyDescent="0.25">
      <c r="B60" s="478"/>
      <c r="C60" s="504" t="s">
        <v>854</v>
      </c>
      <c r="D60" s="628">
        <v>1.21</v>
      </c>
      <c r="E60" s="480"/>
    </row>
    <row r="61" spans="2:5" x14ac:dyDescent="0.25">
      <c r="B61" s="478"/>
      <c r="C61" s="489" t="s">
        <v>595</v>
      </c>
      <c r="D61" s="472"/>
      <c r="E61" s="480"/>
    </row>
    <row r="62" spans="2:5" x14ac:dyDescent="0.25">
      <c r="B62" s="478"/>
      <c r="C62" s="504" t="s">
        <v>855</v>
      </c>
      <c r="D62" s="628">
        <v>5.93</v>
      </c>
      <c r="E62" s="480"/>
    </row>
    <row r="63" spans="2:5" x14ac:dyDescent="0.25">
      <c r="B63" s="478"/>
      <c r="C63" s="701" t="s">
        <v>856</v>
      </c>
      <c r="D63" s="628">
        <v>24.2</v>
      </c>
      <c r="E63" s="480"/>
    </row>
    <row r="64" spans="2:5" x14ac:dyDescent="0.25">
      <c r="B64" s="478"/>
      <c r="C64" s="502" t="s">
        <v>597</v>
      </c>
      <c r="D64" s="503"/>
      <c r="E64" s="480"/>
    </row>
    <row r="65" spans="2:5" x14ac:dyDescent="0.25">
      <c r="B65" s="478"/>
      <c r="C65" s="701" t="s">
        <v>614</v>
      </c>
      <c r="D65" s="474">
        <f>$D$62</f>
        <v>5.93</v>
      </c>
      <c r="E65" s="480"/>
    </row>
    <row r="66" spans="2:5" x14ac:dyDescent="0.25">
      <c r="B66" s="478"/>
      <c r="C66" s="504" t="s">
        <v>615</v>
      </c>
      <c r="D66" s="474">
        <f>$D$63</f>
        <v>24.2</v>
      </c>
      <c r="E66" s="480"/>
    </row>
    <row r="67" spans="2:5" x14ac:dyDescent="0.25">
      <c r="B67" s="478"/>
      <c r="C67" s="701" t="s">
        <v>673</v>
      </c>
      <c r="D67" s="628">
        <v>110</v>
      </c>
      <c r="E67" s="480"/>
    </row>
    <row r="68" spans="2:5" x14ac:dyDescent="0.25">
      <c r="B68" s="478"/>
      <c r="C68" s="502" t="s">
        <v>594</v>
      </c>
      <c r="D68" s="503"/>
      <c r="E68" s="480"/>
    </row>
    <row r="69" spans="2:5" x14ac:dyDescent="0.25">
      <c r="B69" s="478"/>
      <c r="C69" s="701" t="s">
        <v>10</v>
      </c>
      <c r="D69" s="475">
        <f>($D$65-$D$60)/$D$16</f>
        <v>0.19666666666666666</v>
      </c>
      <c r="E69" s="480"/>
    </row>
    <row r="70" spans="2:5" x14ac:dyDescent="0.25">
      <c r="B70" s="478"/>
      <c r="C70" s="504" t="s">
        <v>596</v>
      </c>
      <c r="D70" s="475">
        <f>($D$63-$D$62)/($D$17-$D$16)</f>
        <v>0.44560975609756098</v>
      </c>
      <c r="E70" s="480"/>
    </row>
    <row r="71" spans="2:5" x14ac:dyDescent="0.25">
      <c r="B71" s="478"/>
      <c r="C71" s="701" t="s">
        <v>126</v>
      </c>
      <c r="D71" s="475">
        <f>($D$67-$D$66)/($D$18-$D$17)</f>
        <v>0.90315789473684205</v>
      </c>
      <c r="E71" s="480"/>
    </row>
    <row r="72" spans="2:5" x14ac:dyDescent="0.25">
      <c r="B72" s="478"/>
      <c r="C72" s="502" t="s">
        <v>598</v>
      </c>
      <c r="D72" s="503"/>
      <c r="E72" s="480"/>
    </row>
    <row r="73" spans="2:5" x14ac:dyDescent="0.25">
      <c r="B73" s="478"/>
      <c r="C73" s="701" t="s">
        <v>10</v>
      </c>
      <c r="D73" s="474">
        <f>$D$65-$D$60</f>
        <v>4.72</v>
      </c>
      <c r="E73" s="480"/>
    </row>
    <row r="74" spans="2:5" x14ac:dyDescent="0.25">
      <c r="B74" s="478"/>
      <c r="C74" s="504" t="s">
        <v>596</v>
      </c>
      <c r="D74" s="474">
        <f>$D$63-$D$62</f>
        <v>18.27</v>
      </c>
      <c r="E74" s="480"/>
    </row>
    <row r="75" spans="2:5" x14ac:dyDescent="0.25">
      <c r="B75" s="478"/>
      <c r="C75" s="701" t="s">
        <v>126</v>
      </c>
      <c r="D75" s="474">
        <f>$D$67-$D$66</f>
        <v>85.8</v>
      </c>
      <c r="E75" s="480"/>
    </row>
    <row r="76" spans="2:5" x14ac:dyDescent="0.25">
      <c r="B76" s="478"/>
      <c r="C76" s="502" t="s">
        <v>593</v>
      </c>
      <c r="D76" s="503"/>
      <c r="E76" s="480"/>
    </row>
    <row r="77" spans="2:5" x14ac:dyDescent="0.25">
      <c r="B77" s="478"/>
      <c r="C77" s="701" t="s">
        <v>10</v>
      </c>
      <c r="D77" s="702">
        <f>('Insumos e serviços'!I179+'Insumos e serviços'!I180)/('Insumos e serviços'!H180*'Plantel produtivo'!D73)</f>
        <v>0.25650027938163539</v>
      </c>
      <c r="E77" s="480"/>
    </row>
    <row r="78" spans="2:5" x14ac:dyDescent="0.25">
      <c r="B78" s="478"/>
      <c r="C78" s="504" t="s">
        <v>596</v>
      </c>
      <c r="D78" s="702">
        <f>(SUM('Insumos e serviços'!I235:I238)/('Insumos e serviços'!H238*'Plantel produtivo'!D74))</f>
        <v>1.4183350681867046</v>
      </c>
      <c r="E78" s="480"/>
    </row>
    <row r="79" spans="2:5" x14ac:dyDescent="0.25">
      <c r="B79" s="478"/>
      <c r="C79" s="701" t="s">
        <v>126</v>
      </c>
      <c r="D79" s="702">
        <f>SUM('Insumos e serviços'!I291:I294)/('Insumos e serviços'!H294*'Plantel produtivo'!D75)</f>
        <v>2.4687584221052776</v>
      </c>
      <c r="E79" s="480"/>
    </row>
    <row r="80" spans="2:5" ht="37.5" x14ac:dyDescent="0.25">
      <c r="B80" s="478"/>
      <c r="C80" s="703" t="s">
        <v>1097</v>
      </c>
      <c r="D80" s="704">
        <f>SUM('Insumos e serviços'!I8,'Insumos e serviços'!I9,'Insumos e serviços'!I60,'Insumos e serviços'!I61,'Insumos e serviços'!I62,'Insumos e serviços'!I64,'Insumos e serviços'!I65,'Insumos e serviços'!I66,'Insumos e serviços'!I68,('Insumos e serviços'!I69/52.1429),('Insumos e serviços'!I71/52.1429),'Insumos e serviços'!I171,'Insumos e serviços'!I172,'Insumos e serviços'!I174,'Insumos e serviços'!I175,'Insumos e serviços'!I176,'Insumos e serviços'!I177,'Insumos e serviços'!I179,'Insumos e serviços'!I180,'Insumos e serviços'!I235,'Insumos e serviços'!I236,'Insumos e serviços'!I237,'Insumos e serviços'!I238,'Insumos e serviços'!I291,'Insumos e serviços'!I292,'Insumos e serviços'!I293,'Insumos e serviços'!I294)/'Relatório econômico'!E7</f>
        <v>2.6726869379275677</v>
      </c>
      <c r="E80" s="480"/>
    </row>
    <row r="81" spans="2:5" ht="32.25" thickBot="1" x14ac:dyDescent="0.3">
      <c r="B81" s="478"/>
      <c r="C81" s="701"/>
      <c r="E81" s="480"/>
    </row>
    <row r="82" spans="2:5" ht="32.25" thickBot="1" x14ac:dyDescent="0.3">
      <c r="B82" s="478"/>
      <c r="C82" s="828" t="s">
        <v>1044</v>
      </c>
      <c r="D82" s="829"/>
      <c r="E82" s="480"/>
    </row>
    <row r="83" spans="2:5" x14ac:dyDescent="0.25">
      <c r="B83" s="478"/>
      <c r="C83" s="479" t="s">
        <v>599</v>
      </c>
      <c r="D83" s="470"/>
      <c r="E83" s="480"/>
    </row>
    <row r="84" spans="2:5" ht="61.5" x14ac:dyDescent="0.25">
      <c r="B84" s="478"/>
      <c r="C84" s="485" t="s">
        <v>592</v>
      </c>
      <c r="D84" s="471" t="s">
        <v>591</v>
      </c>
      <c r="E84" s="480"/>
    </row>
    <row r="85" spans="2:5" x14ac:dyDescent="0.25">
      <c r="B85" s="478"/>
      <c r="C85" s="701" t="s">
        <v>900</v>
      </c>
      <c r="D85" s="474">
        <f>($D$54*$D$65)</f>
        <v>182.62670191431172</v>
      </c>
      <c r="E85" s="480"/>
    </row>
    <row r="86" spans="2:5" x14ac:dyDescent="0.25">
      <c r="B86" s="478"/>
      <c r="C86" s="504" t="s">
        <v>901</v>
      </c>
      <c r="D86" s="474">
        <f>($D$54*(100%-$D$95))*(100%-$D$96)*$D$67</f>
        <v>3220.327776116681</v>
      </c>
      <c r="E86" s="480"/>
    </row>
    <row r="87" spans="2:5" x14ac:dyDescent="0.25">
      <c r="B87" s="478"/>
      <c r="C87" s="701" t="s">
        <v>604</v>
      </c>
      <c r="D87" s="474">
        <f>($D$54*(100%-$D$95))*(100%-$D$96)</f>
        <v>29.27570705560619</v>
      </c>
      <c r="E87" s="480"/>
    </row>
    <row r="88" spans="2:5" ht="32.25" thickBot="1" x14ac:dyDescent="0.3">
      <c r="B88" s="478"/>
      <c r="C88" s="701"/>
      <c r="E88" s="480"/>
    </row>
    <row r="89" spans="2:5" ht="32.25" thickBot="1" x14ac:dyDescent="0.3">
      <c r="B89" s="478"/>
      <c r="C89" s="828" t="s">
        <v>1045</v>
      </c>
      <c r="D89" s="829"/>
      <c r="E89" s="480"/>
    </row>
    <row r="90" spans="2:5" x14ac:dyDescent="0.25">
      <c r="B90" s="478"/>
      <c r="C90" s="479" t="s">
        <v>599</v>
      </c>
      <c r="D90" s="470"/>
      <c r="E90" s="480"/>
    </row>
    <row r="91" spans="2:5" ht="61.5" x14ac:dyDescent="0.25">
      <c r="B91" s="478"/>
      <c r="C91" s="485" t="s">
        <v>592</v>
      </c>
      <c r="D91" s="471" t="s">
        <v>591</v>
      </c>
      <c r="E91" s="480"/>
    </row>
    <row r="92" spans="2:5" x14ac:dyDescent="0.25">
      <c r="B92" s="478"/>
      <c r="C92" s="701" t="s">
        <v>600</v>
      </c>
      <c r="D92" s="630">
        <v>0.09</v>
      </c>
      <c r="E92" s="480"/>
    </row>
    <row r="93" spans="2:5" x14ac:dyDescent="0.25">
      <c r="B93" s="478"/>
      <c r="C93" s="504" t="s">
        <v>601</v>
      </c>
      <c r="D93" s="630">
        <v>0.02</v>
      </c>
      <c r="E93" s="480"/>
    </row>
    <row r="94" spans="2:5" x14ac:dyDescent="0.25">
      <c r="B94" s="478"/>
      <c r="C94" s="701" t="s">
        <v>602</v>
      </c>
      <c r="D94" s="630">
        <v>0.09</v>
      </c>
      <c r="E94" s="480"/>
    </row>
    <row r="95" spans="2:5" x14ac:dyDescent="0.25">
      <c r="B95" s="478"/>
      <c r="C95" s="504" t="s">
        <v>603</v>
      </c>
      <c r="D95" s="630">
        <v>0.03</v>
      </c>
      <c r="E95" s="480"/>
    </row>
    <row r="96" spans="2:5" x14ac:dyDescent="0.25">
      <c r="B96" s="478"/>
      <c r="C96" s="701" t="s">
        <v>960</v>
      </c>
      <c r="D96" s="687">
        <v>0.02</v>
      </c>
      <c r="E96" s="480"/>
    </row>
    <row r="97" spans="2:5" ht="32.25" thickBot="1" x14ac:dyDescent="0.3">
      <c r="B97" s="496"/>
      <c r="C97" s="497"/>
      <c r="D97" s="402"/>
      <c r="E97" s="499"/>
    </row>
    <row r="98" spans="2:5" x14ac:dyDescent="0.25">
      <c r="B98" s="701"/>
      <c r="C98" s="701"/>
      <c r="E98" s="701"/>
    </row>
    <row r="99" spans="2:5" x14ac:dyDescent="0.25">
      <c r="B99" s="701"/>
    </row>
  </sheetData>
  <sheetProtection algorithmName="SHA-512" hashValue="AXIZLh5GptxK/z8tVkneJHJX6mDcpCsIqdbOProRhQ8Xv9XJyr2VfAla23h1epPl7wNvVbq5gs9XBMLA46jrkg==" saltValue="F3WgmCuGbn3EtSnt9bcAeg==" spinCount="100000" sheet="1"/>
  <mergeCells count="42">
    <mergeCell ref="I43:J43"/>
    <mergeCell ref="I38:J38"/>
    <mergeCell ref="I39:J39"/>
    <mergeCell ref="I40:J40"/>
    <mergeCell ref="I41:J41"/>
    <mergeCell ref="I42:J42"/>
    <mergeCell ref="H28:J28"/>
    <mergeCell ref="I30:J30"/>
    <mergeCell ref="I27:J27"/>
    <mergeCell ref="H35:J35"/>
    <mergeCell ref="I31:J31"/>
    <mergeCell ref="I32:J32"/>
    <mergeCell ref="I33:J33"/>
    <mergeCell ref="I25:J25"/>
    <mergeCell ref="I26:J26"/>
    <mergeCell ref="H15:J15"/>
    <mergeCell ref="I11:J11"/>
    <mergeCell ref="I12:J12"/>
    <mergeCell ref="I13:J13"/>
    <mergeCell ref="I14:J14"/>
    <mergeCell ref="C89:D89"/>
    <mergeCell ref="I6:J6"/>
    <mergeCell ref="I9:J9"/>
    <mergeCell ref="H4:J4"/>
    <mergeCell ref="G2:K2"/>
    <mergeCell ref="I7:J7"/>
    <mergeCell ref="I8:J8"/>
    <mergeCell ref="I10:J10"/>
    <mergeCell ref="I20:J20"/>
    <mergeCell ref="I21:J21"/>
    <mergeCell ref="I22:J22"/>
    <mergeCell ref="I24:J24"/>
    <mergeCell ref="I17:J17"/>
    <mergeCell ref="I18:J18"/>
    <mergeCell ref="I19:J19"/>
    <mergeCell ref="I23:J23"/>
    <mergeCell ref="B2:E2"/>
    <mergeCell ref="C4:D4"/>
    <mergeCell ref="C36:D36"/>
    <mergeCell ref="C56:D56"/>
    <mergeCell ref="C82:D82"/>
    <mergeCell ref="B31:B32"/>
  </mergeCells>
  <pageMargins left="0.511811024" right="0.511811024" top="0.78740157499999996" bottom="0.78740157499999996" header="0.31496062000000002" footer="0.31496062000000002"/>
  <pageSetup paperSize="9" orientation="portrait" r:id="rId1"/>
  <ignoredErrors>
    <ignoredError sqref="H24:H43 H8:H22 I24:J24 I8:J20 I27:J43 J26 J25 I22:J22 J21" evalError="1"/>
  </ignoredErrors>
  <drawing r:id="rId2"/>
  <legacyDrawing r:id="rId3"/>
  <tableParts count="5">
    <tablePart r:id="rId4"/>
    <tablePart r:id="rId5"/>
    <tablePart r:id="rId6"/>
    <tablePart r:id="rId7"/>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5">
    <tabColor rgb="FF642E33"/>
  </sheetPr>
  <dimension ref="A1:U179"/>
  <sheetViews>
    <sheetView topLeftCell="H1" zoomScale="30" zoomScaleNormal="30" workbookViewId="0">
      <pane ySplit="1" topLeftCell="A164" activePane="bottomLeft" state="frozen"/>
      <selection activeCell="F31" sqref="F31"/>
      <selection pane="bottomLeft" activeCell="K176" sqref="K176"/>
    </sheetView>
  </sheetViews>
  <sheetFormatPr defaultRowHeight="37.5" x14ac:dyDescent="0.25"/>
  <cols>
    <col min="1" max="1" width="9.140625" style="468" customWidth="1"/>
    <col min="2" max="2" width="68.85546875" style="447" bestFit="1" customWidth="1"/>
    <col min="3" max="3" width="53.85546875" style="287" bestFit="1" customWidth="1"/>
    <col min="4" max="4" width="60.28515625" style="448" bestFit="1" customWidth="1"/>
    <col min="5" max="5" width="68.42578125" style="448" bestFit="1" customWidth="1"/>
    <col min="6" max="6" width="67.7109375" style="449" bestFit="1" customWidth="1"/>
    <col min="7" max="7" width="83.85546875" style="449" bestFit="1" customWidth="1"/>
    <col min="8" max="8" width="56.140625" style="448" bestFit="1" customWidth="1"/>
    <col min="9" max="9" width="66.140625" style="450" bestFit="1" customWidth="1"/>
    <col min="10" max="10" width="94.7109375" style="449" bestFit="1" customWidth="1"/>
    <col min="11" max="11" width="83.140625" style="451" bestFit="1" customWidth="1"/>
    <col min="12" max="12" width="86.5703125" style="406" customWidth="1"/>
    <col min="13" max="13" width="70.42578125" style="449" bestFit="1" customWidth="1"/>
    <col min="14" max="14" width="13.28515625" style="409" bestFit="1" customWidth="1"/>
    <col min="15" max="15" width="21.140625" style="409" customWidth="1"/>
    <col min="16" max="16" width="9.140625" style="409"/>
    <col min="17" max="18" width="9.28515625" style="409" bestFit="1" customWidth="1"/>
    <col min="19" max="19" width="11.140625" style="409" bestFit="1" customWidth="1"/>
    <col min="20" max="16384" width="9.140625" style="409"/>
  </cols>
  <sheetData>
    <row r="1" spans="1:20" s="287" customFormat="1" ht="70.5" customHeight="1" thickBot="1" x14ac:dyDescent="0.55000000000000004">
      <c r="A1" s="707" t="s">
        <v>1088</v>
      </c>
      <c r="B1" s="913" t="s">
        <v>648</v>
      </c>
      <c r="C1" s="914"/>
      <c r="D1" s="914"/>
      <c r="E1" s="914"/>
      <c r="F1" s="914"/>
      <c r="G1" s="914"/>
      <c r="H1" s="914"/>
      <c r="I1" s="914"/>
      <c r="J1" s="914"/>
      <c r="K1" s="914"/>
      <c r="L1" s="914"/>
      <c r="M1" s="914"/>
      <c r="O1" s="911"/>
      <c r="P1" s="911"/>
      <c r="Q1" s="911"/>
      <c r="R1" s="911"/>
      <c r="S1" s="911"/>
    </row>
    <row r="2" spans="1:20" s="287" customFormat="1" ht="38.25" thickBot="1" x14ac:dyDescent="0.55000000000000004">
      <c r="A2" s="467"/>
      <c r="B2" s="418"/>
      <c r="C2" s="419"/>
      <c r="D2" s="419"/>
      <c r="E2" s="419"/>
      <c r="F2" s="420"/>
      <c r="G2" s="420"/>
      <c r="H2" s="419"/>
      <c r="I2" s="419"/>
      <c r="J2" s="420"/>
      <c r="K2" s="421"/>
      <c r="L2" s="420"/>
      <c r="M2" s="420"/>
      <c r="O2" s="332"/>
      <c r="P2" s="332"/>
      <c r="Q2" s="332"/>
      <c r="R2" s="332"/>
      <c r="S2" s="332"/>
    </row>
    <row r="3" spans="1:20" ht="78.75" customHeight="1" thickBot="1" x14ac:dyDescent="0.55000000000000004">
      <c r="A3" s="872" t="s">
        <v>911</v>
      </c>
      <c r="B3" s="879" t="s">
        <v>340</v>
      </c>
      <c r="C3" s="880"/>
      <c r="D3" s="880"/>
      <c r="E3" s="880"/>
      <c r="F3" s="880"/>
      <c r="G3" s="880"/>
      <c r="H3" s="880"/>
      <c r="I3" s="880"/>
      <c r="J3" s="880"/>
      <c r="K3" s="880"/>
      <c r="L3" s="880"/>
      <c r="M3" s="881"/>
      <c r="O3" s="422"/>
      <c r="P3" s="422"/>
      <c r="Q3" s="422"/>
      <c r="R3" s="422"/>
      <c r="S3" s="422"/>
    </row>
    <row r="4" spans="1:20" s="287" customFormat="1" ht="162" customHeight="1" thickBot="1" x14ac:dyDescent="0.3">
      <c r="A4" s="873"/>
      <c r="B4" s="423" t="s">
        <v>86</v>
      </c>
      <c r="C4" s="424" t="s">
        <v>89</v>
      </c>
      <c r="D4" s="424" t="s">
        <v>913</v>
      </c>
      <c r="E4" s="425" t="s">
        <v>912</v>
      </c>
      <c r="F4" s="426" t="s">
        <v>90</v>
      </c>
      <c r="G4" s="426" t="s">
        <v>26</v>
      </c>
      <c r="H4" s="424" t="s">
        <v>14</v>
      </c>
      <c r="I4" s="427" t="s">
        <v>15</v>
      </c>
      <c r="J4" s="426" t="s">
        <v>88</v>
      </c>
      <c r="K4" s="426" t="s">
        <v>16</v>
      </c>
      <c r="L4" s="426" t="s">
        <v>99</v>
      </c>
      <c r="M4" s="428" t="s">
        <v>100</v>
      </c>
      <c r="N4" s="429"/>
      <c r="O4" s="429"/>
      <c r="P4" s="429"/>
      <c r="Q4" s="429"/>
      <c r="R4" s="429"/>
      <c r="S4" s="430"/>
      <c r="T4" s="430"/>
    </row>
    <row r="5" spans="1:20" ht="38.25" x14ac:dyDescent="0.5">
      <c r="A5" s="873"/>
      <c r="B5" s="412" t="s">
        <v>282</v>
      </c>
      <c r="C5" s="452" t="s">
        <v>87</v>
      </c>
      <c r="D5" s="634">
        <f>(3)*('Plantel produtivo'!I19)</f>
        <v>294.86301369863014</v>
      </c>
      <c r="E5" s="635">
        <v>1</v>
      </c>
      <c r="F5" s="636">
        <v>837.92</v>
      </c>
      <c r="G5" s="413">
        <f>F5*E5*D5</f>
        <v>247071.61643835617</v>
      </c>
      <c r="H5" s="643">
        <v>20</v>
      </c>
      <c r="I5" s="644">
        <v>0</v>
      </c>
      <c r="J5" s="413">
        <f>I5*G5</f>
        <v>0</v>
      </c>
      <c r="K5" s="414">
        <f>(G5-J5)/H5</f>
        <v>12353.580821917809</v>
      </c>
      <c r="L5" s="414">
        <f>K5/12</f>
        <v>1029.4650684931507</v>
      </c>
      <c r="M5" s="415">
        <f>K5/52.1429</f>
        <v>236.91779363859337</v>
      </c>
      <c r="N5" s="431"/>
      <c r="O5" s="432"/>
      <c r="P5" s="433"/>
      <c r="Q5" s="432"/>
      <c r="R5" s="434"/>
      <c r="S5" s="410"/>
      <c r="T5" s="410"/>
    </row>
    <row r="6" spans="1:20" ht="114.75" x14ac:dyDescent="0.5">
      <c r="A6" s="873"/>
      <c r="B6" s="405" t="s">
        <v>283</v>
      </c>
      <c r="C6" s="430" t="s">
        <v>87</v>
      </c>
      <c r="D6" s="637">
        <v>53.81</v>
      </c>
      <c r="E6" s="638">
        <v>1</v>
      </c>
      <c r="F6" s="646">
        <f>$F$5</f>
        <v>837.92</v>
      </c>
      <c r="G6" s="406">
        <f>F6*E6*D6</f>
        <v>45088.475200000001</v>
      </c>
      <c r="H6" s="641">
        <v>20</v>
      </c>
      <c r="I6" s="645">
        <v>0</v>
      </c>
      <c r="J6" s="406">
        <f>I6*G6</f>
        <v>0</v>
      </c>
      <c r="K6" s="407">
        <f t="shared" ref="K6:K21" si="0">(G6-J6)/H6</f>
        <v>2254.4237600000001</v>
      </c>
      <c r="L6" s="407">
        <f>K6/12</f>
        <v>187.86864666666668</v>
      </c>
      <c r="M6" s="408">
        <f>K6/52.1429</f>
        <v>43.235488628365516</v>
      </c>
      <c r="N6" s="431"/>
      <c r="O6" s="432"/>
      <c r="P6" s="433"/>
      <c r="Q6" s="432"/>
      <c r="R6" s="434"/>
      <c r="S6" s="410"/>
      <c r="T6" s="410"/>
    </row>
    <row r="7" spans="1:20" ht="38.25" x14ac:dyDescent="0.5">
      <c r="A7" s="873"/>
      <c r="B7" s="405" t="s">
        <v>19</v>
      </c>
      <c r="C7" s="430" t="s">
        <v>87</v>
      </c>
      <c r="D7" s="637">
        <f>(6)*'Inventário Físico'!E25</f>
        <v>70.7</v>
      </c>
      <c r="E7" s="638">
        <v>1</v>
      </c>
      <c r="F7" s="646">
        <f t="shared" ref="F7:F17" si="1">$F$5</f>
        <v>837.92</v>
      </c>
      <c r="G7" s="406">
        <f t="shared" ref="G7:G13" si="2">F7*E7*D7</f>
        <v>59240.943999999996</v>
      </c>
      <c r="H7" s="641">
        <v>20</v>
      </c>
      <c r="I7" s="645">
        <v>0</v>
      </c>
      <c r="J7" s="406">
        <f t="shared" ref="J7:J21" si="3">I7*G7</f>
        <v>0</v>
      </c>
      <c r="K7" s="407">
        <f t="shared" si="0"/>
        <v>2962.0472</v>
      </c>
      <c r="L7" s="407">
        <f t="shared" ref="L7:L21" si="4">K7/12</f>
        <v>246.83726666666666</v>
      </c>
      <c r="M7" s="408">
        <f t="shared" ref="M7:M21" si="5">K7/52.1429</f>
        <v>56.806337967393453</v>
      </c>
      <c r="N7" s="431"/>
      <c r="O7" s="431"/>
      <c r="P7" s="433"/>
      <c r="Q7" s="432"/>
      <c r="R7" s="435"/>
      <c r="S7" s="410"/>
      <c r="T7" s="410"/>
    </row>
    <row r="8" spans="1:20" ht="38.25" x14ac:dyDescent="0.5">
      <c r="A8" s="873"/>
      <c r="B8" s="405" t="s">
        <v>20</v>
      </c>
      <c r="C8" s="430" t="s">
        <v>87</v>
      </c>
      <c r="D8" s="637">
        <f>(5)*'Plantel produtivo'!I21</f>
        <v>88.375</v>
      </c>
      <c r="E8" s="638">
        <v>1</v>
      </c>
      <c r="F8" s="646">
        <f t="shared" si="1"/>
        <v>837.92</v>
      </c>
      <c r="G8" s="406">
        <f t="shared" si="2"/>
        <v>74051.179999999993</v>
      </c>
      <c r="H8" s="641">
        <v>20</v>
      </c>
      <c r="I8" s="645">
        <v>0</v>
      </c>
      <c r="J8" s="406">
        <f t="shared" si="3"/>
        <v>0</v>
      </c>
      <c r="K8" s="407">
        <f t="shared" si="0"/>
        <v>3702.5589999999997</v>
      </c>
      <c r="L8" s="407">
        <f t="shared" si="4"/>
        <v>308.54658333333333</v>
      </c>
      <c r="M8" s="408">
        <f t="shared" si="5"/>
        <v>71.007922459241811</v>
      </c>
      <c r="N8" s="431"/>
      <c r="O8" s="431"/>
      <c r="P8" s="433"/>
      <c r="Q8" s="432"/>
      <c r="R8" s="435"/>
      <c r="S8" s="410"/>
      <c r="T8" s="410"/>
    </row>
    <row r="9" spans="1:20" ht="38.25" x14ac:dyDescent="0.5">
      <c r="A9" s="873"/>
      <c r="B9" s="405" t="s">
        <v>286</v>
      </c>
      <c r="C9" s="430" t="s">
        <v>87</v>
      </c>
      <c r="D9" s="637">
        <f>(1.4)*'Plantel produtivo'!I26/5</f>
        <v>459.41276997956345</v>
      </c>
      <c r="E9" s="638">
        <v>5</v>
      </c>
      <c r="F9" s="646">
        <f t="shared" si="1"/>
        <v>837.92</v>
      </c>
      <c r="G9" s="406">
        <f t="shared" si="2"/>
        <v>1924755.7411063788</v>
      </c>
      <c r="H9" s="641">
        <v>20</v>
      </c>
      <c r="I9" s="645">
        <v>0</v>
      </c>
      <c r="J9" s="406">
        <f t="shared" si="3"/>
        <v>0</v>
      </c>
      <c r="K9" s="407">
        <f t="shared" si="0"/>
        <v>96237.787055318942</v>
      </c>
      <c r="L9" s="407">
        <f t="shared" si="4"/>
        <v>8019.8155879432452</v>
      </c>
      <c r="M9" s="408">
        <f t="shared" si="5"/>
        <v>1845.6546731255635</v>
      </c>
      <c r="N9" s="431"/>
      <c r="O9" s="431"/>
      <c r="P9" s="433"/>
      <c r="Q9" s="432"/>
      <c r="R9" s="435"/>
      <c r="S9" s="410"/>
      <c r="T9" s="410"/>
    </row>
    <row r="10" spans="1:20" ht="76.5" x14ac:dyDescent="0.5">
      <c r="A10" s="873"/>
      <c r="B10" s="405" t="s">
        <v>281</v>
      </c>
      <c r="C10" s="430" t="s">
        <v>87</v>
      </c>
      <c r="D10" s="637">
        <f>(6)*(Tabela2[[#This Row],[Valor real da granja ]])</f>
        <v>1440</v>
      </c>
      <c r="E10" s="638">
        <v>1</v>
      </c>
      <c r="F10" s="646">
        <f t="shared" si="1"/>
        <v>837.92</v>
      </c>
      <c r="G10" s="406">
        <f t="shared" si="2"/>
        <v>1206604.8</v>
      </c>
      <c r="H10" s="641">
        <v>20</v>
      </c>
      <c r="I10" s="645">
        <v>0</v>
      </c>
      <c r="J10" s="406">
        <f t="shared" si="3"/>
        <v>0</v>
      </c>
      <c r="K10" s="407">
        <f t="shared" si="0"/>
        <v>60330.240000000005</v>
      </c>
      <c r="L10" s="407">
        <f t="shared" si="4"/>
        <v>5027.5200000000004</v>
      </c>
      <c r="M10" s="408">
        <f t="shared" si="5"/>
        <v>1157.0173503966985</v>
      </c>
      <c r="N10" s="431"/>
      <c r="O10" s="431"/>
      <c r="P10" s="433"/>
      <c r="Q10" s="432"/>
      <c r="R10" s="435"/>
      <c r="S10" s="410"/>
      <c r="T10" s="410"/>
    </row>
    <row r="11" spans="1:20" ht="38.25" x14ac:dyDescent="0.5">
      <c r="A11" s="873"/>
      <c r="B11" s="405" t="s">
        <v>284</v>
      </c>
      <c r="C11" s="430" t="s">
        <v>87</v>
      </c>
      <c r="D11" s="637">
        <f>'Plantel produtivo'!I8*4</f>
        <v>337.23331039229174</v>
      </c>
      <c r="E11" s="638">
        <v>5</v>
      </c>
      <c r="F11" s="646">
        <f t="shared" si="1"/>
        <v>837.92</v>
      </c>
      <c r="G11" s="406">
        <f t="shared" si="2"/>
        <v>1412872.6772195452</v>
      </c>
      <c r="H11" s="641">
        <v>20</v>
      </c>
      <c r="I11" s="645">
        <v>0</v>
      </c>
      <c r="J11" s="406">
        <f t="shared" si="3"/>
        <v>0</v>
      </c>
      <c r="K11" s="407">
        <f t="shared" si="0"/>
        <v>70643.633860977265</v>
      </c>
      <c r="L11" s="407">
        <f t="shared" si="4"/>
        <v>5886.9694884147721</v>
      </c>
      <c r="M11" s="408">
        <f t="shared" si="5"/>
        <v>1354.8083029708218</v>
      </c>
      <c r="N11" s="431"/>
      <c r="O11" s="431"/>
      <c r="P11" s="433"/>
      <c r="Q11" s="432"/>
      <c r="R11" s="435"/>
      <c r="S11" s="410"/>
      <c r="T11" s="410"/>
    </row>
    <row r="12" spans="1:20" ht="38.25" x14ac:dyDescent="0.5">
      <c r="A12" s="873"/>
      <c r="B12" s="405" t="s">
        <v>285</v>
      </c>
      <c r="C12" s="430" t="s">
        <v>87</v>
      </c>
      <c r="D12" s="637">
        <f>'Plantel produtivo'!I32</f>
        <v>365.37785779398342</v>
      </c>
      <c r="E12" s="638">
        <v>7</v>
      </c>
      <c r="F12" s="646">
        <f t="shared" si="1"/>
        <v>837.92</v>
      </c>
      <c r="G12" s="406">
        <f t="shared" si="2"/>
        <v>2143101.9022191418</v>
      </c>
      <c r="H12" s="641">
        <v>20</v>
      </c>
      <c r="I12" s="645">
        <v>0</v>
      </c>
      <c r="J12" s="406">
        <f t="shared" si="3"/>
        <v>0</v>
      </c>
      <c r="K12" s="407">
        <f t="shared" si="0"/>
        <v>107155.09511095709</v>
      </c>
      <c r="L12" s="407">
        <f t="shared" si="4"/>
        <v>8929.5912592464247</v>
      </c>
      <c r="M12" s="408">
        <f t="shared" si="5"/>
        <v>2055.0275322423013</v>
      </c>
      <c r="N12" s="431"/>
      <c r="O12" s="431"/>
      <c r="P12" s="433"/>
      <c r="Q12" s="432"/>
      <c r="R12" s="435"/>
      <c r="S12" s="410"/>
      <c r="T12" s="410"/>
    </row>
    <row r="13" spans="1:20" ht="76.5" x14ac:dyDescent="0.5">
      <c r="A13" s="873"/>
      <c r="B13" s="405" t="s">
        <v>908</v>
      </c>
      <c r="C13" s="430" t="s">
        <v>87</v>
      </c>
      <c r="D13" s="637">
        <f>'Plantel produtivo'!I42</f>
        <v>1148.3304102096624</v>
      </c>
      <c r="E13" s="638">
        <f>'Plantel produtivo'!I43/'Plantel produtivo'!I42</f>
        <v>13.571428571428571</v>
      </c>
      <c r="F13" s="646">
        <f>$F$5</f>
        <v>837.92</v>
      </c>
      <c r="G13" s="406">
        <f t="shared" si="2"/>
        <v>13058550.949381948</v>
      </c>
      <c r="H13" s="641">
        <v>20</v>
      </c>
      <c r="I13" s="645">
        <v>0</v>
      </c>
      <c r="J13" s="406">
        <f t="shared" si="3"/>
        <v>0</v>
      </c>
      <c r="K13" s="407">
        <f t="shared" si="0"/>
        <v>652927.54746909742</v>
      </c>
      <c r="L13" s="407">
        <f t="shared" si="4"/>
        <v>54410.628955758119</v>
      </c>
      <c r="M13" s="408">
        <f t="shared" si="5"/>
        <v>12521.887878677586</v>
      </c>
      <c r="N13" s="431"/>
      <c r="O13" s="431"/>
      <c r="P13" s="433"/>
      <c r="Q13" s="432"/>
      <c r="R13" s="435"/>
      <c r="S13" s="410"/>
      <c r="T13" s="410"/>
    </row>
    <row r="14" spans="1:20" ht="38.25" x14ac:dyDescent="0.5">
      <c r="A14" s="873"/>
      <c r="B14" s="405" t="s">
        <v>21</v>
      </c>
      <c r="C14" s="430" t="s">
        <v>87</v>
      </c>
      <c r="D14" s="637">
        <v>50</v>
      </c>
      <c r="E14" s="638">
        <v>1</v>
      </c>
      <c r="F14" s="646">
        <f t="shared" si="1"/>
        <v>837.92</v>
      </c>
      <c r="G14" s="406">
        <f t="shared" ref="G14:G21" si="6">F14*E14*D14</f>
        <v>41896</v>
      </c>
      <c r="H14" s="641">
        <v>20</v>
      </c>
      <c r="I14" s="645">
        <v>0</v>
      </c>
      <c r="J14" s="406">
        <f>I14*G14</f>
        <v>0</v>
      </c>
      <c r="K14" s="407">
        <f t="shared" si="0"/>
        <v>2094.8000000000002</v>
      </c>
      <c r="L14" s="407">
        <f>K14/12</f>
        <v>174.56666666666669</v>
      </c>
      <c r="M14" s="408">
        <f>K14/52.1429</f>
        <v>40.174213555440922</v>
      </c>
      <c r="N14" s="431"/>
      <c r="O14" s="431"/>
      <c r="P14" s="433"/>
      <c r="Q14" s="432"/>
      <c r="R14" s="435"/>
      <c r="S14" s="410"/>
      <c r="T14" s="410"/>
    </row>
    <row r="15" spans="1:20" ht="38.25" x14ac:dyDescent="0.5">
      <c r="A15" s="873"/>
      <c r="B15" s="405" t="s">
        <v>22</v>
      </c>
      <c r="C15" s="430" t="s">
        <v>87</v>
      </c>
      <c r="D15" s="637">
        <v>50</v>
      </c>
      <c r="E15" s="638">
        <v>2</v>
      </c>
      <c r="F15" s="646">
        <f t="shared" si="1"/>
        <v>837.92</v>
      </c>
      <c r="G15" s="406">
        <f t="shared" si="6"/>
        <v>83792</v>
      </c>
      <c r="H15" s="641">
        <v>20</v>
      </c>
      <c r="I15" s="645">
        <v>0</v>
      </c>
      <c r="J15" s="406">
        <f>I15*G15</f>
        <v>0</v>
      </c>
      <c r="K15" s="407">
        <f t="shared" si="0"/>
        <v>4189.6000000000004</v>
      </c>
      <c r="L15" s="407">
        <f>K15/12</f>
        <v>349.13333333333338</v>
      </c>
      <c r="M15" s="408">
        <f>K15/52.1429</f>
        <v>80.348427110881843</v>
      </c>
      <c r="N15" s="431"/>
      <c r="O15" s="431"/>
      <c r="P15" s="433"/>
      <c r="Q15" s="432"/>
      <c r="R15" s="435"/>
      <c r="S15" s="410"/>
      <c r="T15" s="410"/>
    </row>
    <row r="16" spans="1:20" ht="38.25" x14ac:dyDescent="0.5">
      <c r="A16" s="873"/>
      <c r="B16" s="405" t="s">
        <v>18</v>
      </c>
      <c r="C16" s="430" t="s">
        <v>87</v>
      </c>
      <c r="D16" s="637">
        <v>15</v>
      </c>
      <c r="E16" s="638">
        <v>1</v>
      </c>
      <c r="F16" s="646">
        <f t="shared" si="1"/>
        <v>837.92</v>
      </c>
      <c r="G16" s="406">
        <f t="shared" si="6"/>
        <v>12568.8</v>
      </c>
      <c r="H16" s="641">
        <v>20</v>
      </c>
      <c r="I16" s="645">
        <v>0</v>
      </c>
      <c r="J16" s="406">
        <f>I16*G16</f>
        <v>0</v>
      </c>
      <c r="K16" s="407">
        <f t="shared" si="0"/>
        <v>628.43999999999994</v>
      </c>
      <c r="L16" s="407">
        <f>K16/12</f>
        <v>52.37</v>
      </c>
      <c r="M16" s="408">
        <f>K16/52.1429</f>
        <v>12.052264066632274</v>
      </c>
      <c r="N16" s="431"/>
      <c r="O16" s="431"/>
      <c r="P16" s="433"/>
      <c r="Q16" s="432"/>
      <c r="R16" s="435"/>
      <c r="S16" s="410"/>
      <c r="T16" s="410"/>
    </row>
    <row r="17" spans="1:21" ht="38.25" x14ac:dyDescent="0.25">
      <c r="A17" s="873"/>
      <c r="B17" s="405" t="s">
        <v>25</v>
      </c>
      <c r="C17" s="430" t="s">
        <v>87</v>
      </c>
      <c r="D17" s="637">
        <v>200</v>
      </c>
      <c r="E17" s="638">
        <v>1</v>
      </c>
      <c r="F17" s="646">
        <f t="shared" si="1"/>
        <v>837.92</v>
      </c>
      <c r="G17" s="406">
        <f t="shared" si="6"/>
        <v>167584</v>
      </c>
      <c r="H17" s="641">
        <v>20</v>
      </c>
      <c r="I17" s="645">
        <v>0</v>
      </c>
      <c r="J17" s="406">
        <f>I17*G17</f>
        <v>0</v>
      </c>
      <c r="K17" s="407">
        <f t="shared" si="0"/>
        <v>8379.2000000000007</v>
      </c>
      <c r="L17" s="407">
        <f>K17/12</f>
        <v>698.26666666666677</v>
      </c>
      <c r="M17" s="408">
        <f>K17/52.1429</f>
        <v>160.69685422176369</v>
      </c>
      <c r="N17" s="410"/>
      <c r="O17" s="410"/>
      <c r="P17" s="410"/>
      <c r="Q17" s="410"/>
      <c r="R17" s="410"/>
      <c r="S17" s="410"/>
      <c r="T17" s="410"/>
    </row>
    <row r="18" spans="1:21" ht="38.25" x14ac:dyDescent="0.25">
      <c r="A18" s="873"/>
      <c r="B18" s="405" t="s">
        <v>23</v>
      </c>
      <c r="C18" s="430" t="s">
        <v>87</v>
      </c>
      <c r="D18" s="640">
        <v>70</v>
      </c>
      <c r="E18" s="641">
        <v>10</v>
      </c>
      <c r="F18" s="639">
        <v>1556.37</v>
      </c>
      <c r="G18" s="406">
        <f t="shared" si="6"/>
        <v>1089459</v>
      </c>
      <c r="H18" s="641">
        <v>20</v>
      </c>
      <c r="I18" s="645">
        <v>0</v>
      </c>
      <c r="J18" s="406">
        <f>I18*G18</f>
        <v>0</v>
      </c>
      <c r="K18" s="407">
        <f t="shared" si="0"/>
        <v>54472.95</v>
      </c>
      <c r="L18" s="407">
        <f>K18/12</f>
        <v>4539.4124999999995</v>
      </c>
      <c r="M18" s="408">
        <f>K18/52.1429</f>
        <v>1044.6858536828599</v>
      </c>
      <c r="N18" s="410"/>
      <c r="O18" s="410"/>
      <c r="P18" s="410"/>
      <c r="Q18" s="410"/>
      <c r="R18" s="410"/>
      <c r="S18" s="410"/>
      <c r="T18" s="410"/>
    </row>
    <row r="19" spans="1:21" ht="38.25" x14ac:dyDescent="0.25">
      <c r="A19" s="873"/>
      <c r="B19" s="405" t="s">
        <v>711</v>
      </c>
      <c r="C19" s="410" t="s">
        <v>87</v>
      </c>
      <c r="D19" s="642">
        <v>0</v>
      </c>
      <c r="E19" s="641">
        <v>0</v>
      </c>
      <c r="F19" s="639">
        <v>0</v>
      </c>
      <c r="G19" s="406">
        <f t="shared" si="6"/>
        <v>0</v>
      </c>
      <c r="H19" s="641">
        <v>20</v>
      </c>
      <c r="I19" s="645">
        <v>0</v>
      </c>
      <c r="J19" s="406">
        <f t="shared" si="3"/>
        <v>0</v>
      </c>
      <c r="K19" s="407">
        <f t="shared" si="0"/>
        <v>0</v>
      </c>
      <c r="L19" s="407">
        <f t="shared" si="4"/>
        <v>0</v>
      </c>
      <c r="M19" s="408">
        <f t="shared" si="5"/>
        <v>0</v>
      </c>
      <c r="N19" s="410"/>
      <c r="O19" s="410"/>
      <c r="P19" s="410"/>
      <c r="Q19" s="410"/>
      <c r="R19" s="410"/>
      <c r="S19" s="410"/>
      <c r="T19" s="410"/>
    </row>
    <row r="20" spans="1:21" ht="38.25" x14ac:dyDescent="0.25">
      <c r="A20" s="873"/>
      <c r="B20" s="405" t="s">
        <v>712</v>
      </c>
      <c r="C20" s="453" t="s">
        <v>87</v>
      </c>
      <c r="D20" s="642">
        <v>0</v>
      </c>
      <c r="E20" s="641">
        <v>0</v>
      </c>
      <c r="F20" s="639">
        <v>0</v>
      </c>
      <c r="G20" s="406">
        <f>F20*E20*D20</f>
        <v>0</v>
      </c>
      <c r="H20" s="641">
        <v>20</v>
      </c>
      <c r="I20" s="645">
        <v>0</v>
      </c>
      <c r="J20" s="406">
        <f>I20*G20</f>
        <v>0</v>
      </c>
      <c r="K20" s="407">
        <f t="shared" si="0"/>
        <v>0</v>
      </c>
      <c r="L20" s="407">
        <f>K20/12</f>
        <v>0</v>
      </c>
      <c r="M20" s="408">
        <f>K20/52.1429</f>
        <v>0</v>
      </c>
      <c r="N20" s="410"/>
      <c r="O20" s="410"/>
      <c r="P20" s="410"/>
      <c r="Q20" s="410"/>
      <c r="R20" s="410"/>
      <c r="S20" s="410"/>
      <c r="T20" s="410"/>
    </row>
    <row r="21" spans="1:21" ht="39" thickBot="1" x14ac:dyDescent="0.3">
      <c r="A21" s="874"/>
      <c r="B21" s="405" t="s">
        <v>713</v>
      </c>
      <c r="C21" s="410" t="s">
        <v>87</v>
      </c>
      <c r="D21" s="642">
        <v>0</v>
      </c>
      <c r="E21" s="641">
        <v>0</v>
      </c>
      <c r="F21" s="639">
        <v>0</v>
      </c>
      <c r="G21" s="406">
        <f t="shared" si="6"/>
        <v>0</v>
      </c>
      <c r="H21" s="641">
        <v>20</v>
      </c>
      <c r="I21" s="645">
        <v>0</v>
      </c>
      <c r="J21" s="406">
        <f t="shared" si="3"/>
        <v>0</v>
      </c>
      <c r="K21" s="407">
        <f t="shared" si="0"/>
        <v>0</v>
      </c>
      <c r="L21" s="407">
        <f t="shared" si="4"/>
        <v>0</v>
      </c>
      <c r="M21" s="408">
        <f t="shared" si="5"/>
        <v>0</v>
      </c>
      <c r="N21" s="410"/>
      <c r="O21" s="410"/>
      <c r="P21" s="410"/>
      <c r="Q21" s="410"/>
      <c r="R21" s="410"/>
      <c r="S21" s="410"/>
      <c r="T21" s="410"/>
    </row>
    <row r="22" spans="1:21" ht="101.25" customHeight="1" thickBot="1" x14ac:dyDescent="0.3">
      <c r="A22" s="875" t="s">
        <v>910</v>
      </c>
      <c r="B22" s="882" t="s">
        <v>339</v>
      </c>
      <c r="C22" s="883"/>
      <c r="D22" s="883"/>
      <c r="E22" s="883"/>
      <c r="F22" s="883"/>
      <c r="G22" s="883"/>
      <c r="H22" s="883"/>
      <c r="I22" s="883"/>
      <c r="J22" s="883"/>
      <c r="K22" s="883"/>
      <c r="L22" s="883"/>
      <c r="M22" s="884"/>
      <c r="O22" s="410"/>
      <c r="P22" s="410"/>
      <c r="Q22" s="410"/>
      <c r="R22" s="410"/>
      <c r="S22" s="410"/>
      <c r="T22" s="410"/>
      <c r="U22" s="410"/>
    </row>
    <row r="23" spans="1:21" ht="82.5" customHeight="1" thickBot="1" x14ac:dyDescent="0.3">
      <c r="A23" s="876"/>
      <c r="B23" s="436" t="s">
        <v>86</v>
      </c>
      <c r="C23" s="912" t="s">
        <v>89</v>
      </c>
      <c r="D23" s="912"/>
      <c r="E23" s="437" t="s">
        <v>91</v>
      </c>
      <c r="F23" s="438" t="s">
        <v>27</v>
      </c>
      <c r="G23" s="438" t="s">
        <v>26</v>
      </c>
      <c r="H23" s="437" t="s">
        <v>14</v>
      </c>
      <c r="I23" s="439" t="s">
        <v>15</v>
      </c>
      <c r="J23" s="440" t="s">
        <v>88</v>
      </c>
      <c r="K23" s="438" t="s">
        <v>16</v>
      </c>
      <c r="L23" s="438" t="s">
        <v>99</v>
      </c>
      <c r="M23" s="441" t="s">
        <v>100</v>
      </c>
      <c r="N23" s="410"/>
      <c r="O23" s="410"/>
      <c r="P23" s="410"/>
      <c r="Q23" s="410"/>
      <c r="R23" s="410"/>
    </row>
    <row r="24" spans="1:21" s="454" customFormat="1" ht="120" customHeight="1" x14ac:dyDescent="0.25">
      <c r="A24" s="876"/>
      <c r="B24" s="455" t="s">
        <v>542</v>
      </c>
      <c r="C24" s="915" t="s">
        <v>906</v>
      </c>
      <c r="D24" s="915"/>
      <c r="E24" s="456">
        <f>'Plantel produtivo'!D9</f>
        <v>1750</v>
      </c>
      <c r="F24" s="572">
        <f>'Caracterização do sistema'!$I$67</f>
        <v>1850</v>
      </c>
      <c r="G24" s="457">
        <f>E24*F24</f>
        <v>3237500</v>
      </c>
      <c r="H24" s="458">
        <v>2.5</v>
      </c>
      <c r="I24" s="459">
        <f>((('Relatório econômico'!F9/'Relatório econômico'!D9))/('Inventário Físico'!F24))</f>
        <v>0.83481081081081077</v>
      </c>
      <c r="J24" s="457">
        <f>(F24*I24)*E24</f>
        <v>2702699.9999999995</v>
      </c>
      <c r="K24" s="457">
        <f>((G24-J24)/H24)</f>
        <v>213920.00000000017</v>
      </c>
      <c r="L24" s="457">
        <f>K24/12</f>
        <v>17826.666666666682</v>
      </c>
      <c r="M24" s="460">
        <f>L24/4</f>
        <v>4456.6666666666706</v>
      </c>
      <c r="N24" s="432"/>
      <c r="O24" s="432"/>
      <c r="P24" s="432"/>
      <c r="Q24" s="432"/>
      <c r="R24" s="432"/>
    </row>
    <row r="25" spans="1:21" s="454" customFormat="1" ht="102.75" customHeight="1" thickBot="1" x14ac:dyDescent="0.3">
      <c r="A25" s="877"/>
      <c r="B25" s="461" t="s">
        <v>28</v>
      </c>
      <c r="C25" s="916" t="s">
        <v>907</v>
      </c>
      <c r="D25" s="916"/>
      <c r="E25" s="462">
        <f>'Plantel produtivo'!I20</f>
        <v>11.783333333333333</v>
      </c>
      <c r="F25" s="573">
        <f>'Caracterização do sistema'!$I$68</f>
        <v>20000</v>
      </c>
      <c r="G25" s="463">
        <f>E25*F25</f>
        <v>235666.66666666666</v>
      </c>
      <c r="H25" s="464">
        <v>1</v>
      </c>
      <c r="I25" s="465">
        <f>(('Relatório econômico'!F10/'Relatório econômico'!D10)/'Inventário Físico'!F25)</f>
        <v>9.1259999999999994E-2</v>
      </c>
      <c r="J25" s="463">
        <f>G25*I25</f>
        <v>21506.94</v>
      </c>
      <c r="K25" s="463">
        <f>((G25-J25)/H25)</f>
        <v>214159.72666666665</v>
      </c>
      <c r="L25" s="463">
        <f>K25/12</f>
        <v>17846.643888888888</v>
      </c>
      <c r="M25" s="466">
        <f>L25/7</f>
        <v>2549.5205555555553</v>
      </c>
      <c r="N25" s="432"/>
      <c r="O25" s="432"/>
      <c r="P25" s="432"/>
      <c r="Q25" s="432"/>
      <c r="R25" s="432"/>
    </row>
    <row r="26" spans="1:21" ht="84.75" customHeight="1" thickBot="1" x14ac:dyDescent="0.3">
      <c r="B26" s="882" t="s">
        <v>341</v>
      </c>
      <c r="C26" s="883"/>
      <c r="D26" s="883"/>
      <c r="E26" s="883"/>
      <c r="F26" s="883"/>
      <c r="G26" s="883"/>
      <c r="H26" s="883"/>
      <c r="I26" s="883"/>
      <c r="J26" s="883"/>
      <c r="K26" s="883"/>
      <c r="L26" s="883"/>
      <c r="M26" s="884"/>
      <c r="N26" s="410"/>
      <c r="O26" s="410"/>
      <c r="P26" s="410"/>
      <c r="Q26" s="410"/>
      <c r="R26" s="410"/>
      <c r="S26" s="410"/>
      <c r="T26" s="410"/>
    </row>
    <row r="27" spans="1:21" s="454" customFormat="1" ht="204" customHeight="1" thickBot="1" x14ac:dyDescent="0.3">
      <c r="A27" s="469"/>
      <c r="B27" s="442" t="s">
        <v>86</v>
      </c>
      <c r="C27" s="912" t="s">
        <v>17</v>
      </c>
      <c r="D27" s="912"/>
      <c r="E27" s="443" t="s">
        <v>24</v>
      </c>
      <c r="F27" s="444" t="s">
        <v>27</v>
      </c>
      <c r="G27" s="444" t="s">
        <v>26</v>
      </c>
      <c r="H27" s="445" t="s">
        <v>14</v>
      </c>
      <c r="I27" s="446" t="s">
        <v>15</v>
      </c>
      <c r="J27" s="444" t="s">
        <v>88</v>
      </c>
      <c r="K27" s="444" t="s">
        <v>16</v>
      </c>
      <c r="L27" s="428" t="s">
        <v>99</v>
      </c>
      <c r="M27" s="428" t="s">
        <v>100</v>
      </c>
      <c r="O27" s="432"/>
      <c r="P27" s="432"/>
      <c r="Q27" s="432"/>
      <c r="R27" s="432"/>
      <c r="S27" s="432"/>
      <c r="T27" s="432"/>
      <c r="U27" s="432"/>
    </row>
    <row r="28" spans="1:21" s="403" customFormat="1" ht="38.25" thickBot="1" x14ac:dyDescent="0.3">
      <c r="A28" s="869" t="s">
        <v>102</v>
      </c>
      <c r="B28" s="885" t="s">
        <v>102</v>
      </c>
      <c r="C28" s="886"/>
      <c r="D28" s="886"/>
      <c r="E28" s="886"/>
      <c r="F28" s="886"/>
      <c r="G28" s="886"/>
      <c r="H28" s="886"/>
      <c r="I28" s="886"/>
      <c r="J28" s="886"/>
      <c r="K28" s="886"/>
      <c r="L28" s="886"/>
      <c r="M28" s="887"/>
      <c r="O28" s="404"/>
      <c r="P28" s="404"/>
      <c r="Q28" s="404"/>
      <c r="R28" s="404"/>
      <c r="S28" s="404"/>
      <c r="T28" s="404"/>
      <c r="U28" s="404"/>
    </row>
    <row r="29" spans="1:21" s="403" customFormat="1" ht="76.5" x14ac:dyDescent="0.25">
      <c r="A29" s="870"/>
      <c r="B29" s="405" t="s">
        <v>435</v>
      </c>
      <c r="C29" s="904" t="s">
        <v>1040</v>
      </c>
      <c r="D29" s="904"/>
      <c r="E29" s="641">
        <v>100</v>
      </c>
      <c r="F29" s="639">
        <v>796.7</v>
      </c>
      <c r="G29" s="406">
        <f t="shared" ref="G29:G34" si="7">E29*F29</f>
        <v>79670</v>
      </c>
      <c r="H29" s="641">
        <v>20</v>
      </c>
      <c r="I29" s="645">
        <v>0</v>
      </c>
      <c r="J29" s="406">
        <f t="shared" ref="J29:J123" si="8">G29*I29</f>
        <v>0</v>
      </c>
      <c r="K29" s="407">
        <f>(G29-J29)/H29</f>
        <v>3983.5</v>
      </c>
      <c r="L29" s="407">
        <f>K29/12</f>
        <v>331.95833333333331</v>
      </c>
      <c r="M29" s="408">
        <f t="shared" ref="M29:M124" si="9">K29/52.1429</f>
        <v>76.395827619867717</v>
      </c>
      <c r="O29" s="404"/>
      <c r="P29" s="404"/>
      <c r="Q29" s="404"/>
      <c r="R29" s="404"/>
      <c r="S29" s="404"/>
      <c r="T29" s="404"/>
      <c r="U29" s="404"/>
    </row>
    <row r="30" spans="1:21" s="403" customFormat="1" ht="76.5" x14ac:dyDescent="0.25">
      <c r="A30" s="870"/>
      <c r="B30" s="405" t="s">
        <v>436</v>
      </c>
      <c r="C30" s="878" t="s">
        <v>12</v>
      </c>
      <c r="D30" s="878"/>
      <c r="E30" s="574">
        <f>'Plantel produtivo'!I19/10</f>
        <v>9.8287671232876725</v>
      </c>
      <c r="F30" s="639">
        <v>14.74</v>
      </c>
      <c r="G30" s="406">
        <f t="shared" si="7"/>
        <v>144.87602739726029</v>
      </c>
      <c r="H30" s="641">
        <v>10</v>
      </c>
      <c r="I30" s="645">
        <v>0</v>
      </c>
      <c r="J30" s="406">
        <f t="shared" si="8"/>
        <v>0</v>
      </c>
      <c r="K30" s="407">
        <f t="shared" ref="K30:K37" si="10">(G30-J30)/H30</f>
        <v>14.487602739726029</v>
      </c>
      <c r="L30" s="407">
        <f t="shared" ref="L30:L124" si="11">K30/12</f>
        <v>1.2073002283105023</v>
      </c>
      <c r="M30" s="408">
        <f t="shared" si="9"/>
        <v>0.27784420773923257</v>
      </c>
      <c r="O30" s="404"/>
      <c r="P30" s="404"/>
      <c r="Q30" s="404"/>
      <c r="R30" s="404"/>
      <c r="S30" s="404"/>
      <c r="T30" s="404"/>
      <c r="U30" s="404"/>
    </row>
    <row r="31" spans="1:21" ht="38.25" x14ac:dyDescent="0.25">
      <c r="A31" s="870"/>
      <c r="B31" s="405" t="s">
        <v>437</v>
      </c>
      <c r="C31" s="878" t="s">
        <v>12</v>
      </c>
      <c r="D31" s="878"/>
      <c r="E31" s="641">
        <v>4</v>
      </c>
      <c r="F31" s="639">
        <v>30.2</v>
      </c>
      <c r="G31" s="406">
        <f t="shared" si="7"/>
        <v>120.8</v>
      </c>
      <c r="H31" s="641">
        <v>20</v>
      </c>
      <c r="I31" s="645">
        <v>0</v>
      </c>
      <c r="J31" s="406">
        <f t="shared" si="8"/>
        <v>0</v>
      </c>
      <c r="K31" s="407">
        <f t="shared" si="10"/>
        <v>6.04</v>
      </c>
      <c r="L31" s="407">
        <f t="shared" si="11"/>
        <v>0.5033333333333333</v>
      </c>
      <c r="M31" s="408">
        <f t="shared" si="9"/>
        <v>0.11583552123107844</v>
      </c>
      <c r="O31" s="410"/>
      <c r="P31" s="410"/>
      <c r="Q31" s="410"/>
      <c r="R31" s="410"/>
      <c r="S31" s="410"/>
      <c r="T31" s="410"/>
      <c r="U31" s="410"/>
    </row>
    <row r="32" spans="1:21" ht="38.25" x14ac:dyDescent="0.25">
      <c r="A32" s="870"/>
      <c r="B32" s="405" t="s">
        <v>438</v>
      </c>
      <c r="C32" s="878" t="s">
        <v>12</v>
      </c>
      <c r="D32" s="878"/>
      <c r="E32" s="641">
        <v>2</v>
      </c>
      <c r="F32" s="639">
        <v>206.3</v>
      </c>
      <c r="G32" s="406">
        <f t="shared" si="7"/>
        <v>412.6</v>
      </c>
      <c r="H32" s="641">
        <v>20</v>
      </c>
      <c r="I32" s="645">
        <v>0</v>
      </c>
      <c r="J32" s="406">
        <f t="shared" si="8"/>
        <v>0</v>
      </c>
      <c r="K32" s="407">
        <f t="shared" si="10"/>
        <v>20.630000000000003</v>
      </c>
      <c r="L32" s="407">
        <f t="shared" si="11"/>
        <v>1.719166666666667</v>
      </c>
      <c r="M32" s="408">
        <f t="shared" si="9"/>
        <v>0.39564351042999152</v>
      </c>
      <c r="O32" s="410"/>
      <c r="P32" s="410"/>
      <c r="Q32" s="410"/>
      <c r="R32" s="410"/>
      <c r="S32" s="410"/>
      <c r="T32" s="410"/>
      <c r="U32" s="410"/>
    </row>
    <row r="33" spans="1:20" ht="38.25" x14ac:dyDescent="0.25">
      <c r="A33" s="870"/>
      <c r="B33" s="405" t="s">
        <v>305</v>
      </c>
      <c r="C33" s="878" t="s">
        <v>891</v>
      </c>
      <c r="D33" s="878"/>
      <c r="E33" s="574">
        <f>D5*E5</f>
        <v>294.86301369863014</v>
      </c>
      <c r="F33" s="639">
        <v>10.199999999999999</v>
      </c>
      <c r="G33" s="406">
        <f t="shared" si="7"/>
        <v>3007.6027397260273</v>
      </c>
      <c r="H33" s="641">
        <v>20</v>
      </c>
      <c r="I33" s="645">
        <v>0</v>
      </c>
      <c r="J33" s="406">
        <f t="shared" si="8"/>
        <v>0</v>
      </c>
      <c r="K33" s="407">
        <f t="shared" si="10"/>
        <v>150.38013698630135</v>
      </c>
      <c r="L33" s="407">
        <f t="shared" si="11"/>
        <v>12.53167808219178</v>
      </c>
      <c r="M33" s="408">
        <f t="shared" si="9"/>
        <v>2.8840002567233767</v>
      </c>
      <c r="N33" s="410"/>
      <c r="O33" s="410"/>
      <c r="P33" s="410"/>
      <c r="Q33" s="410"/>
      <c r="R33" s="410"/>
      <c r="S33" s="410"/>
      <c r="T33" s="410"/>
    </row>
    <row r="34" spans="1:20" ht="38.25" x14ac:dyDescent="0.25">
      <c r="A34" s="870"/>
      <c r="B34" s="405" t="s">
        <v>895</v>
      </c>
      <c r="C34" s="878" t="s">
        <v>12</v>
      </c>
      <c r="D34" s="878"/>
      <c r="E34" s="641">
        <v>10</v>
      </c>
      <c r="F34" s="639">
        <v>4.24</v>
      </c>
      <c r="G34" s="406">
        <f t="shared" si="7"/>
        <v>42.400000000000006</v>
      </c>
      <c r="H34" s="641">
        <v>1</v>
      </c>
      <c r="I34" s="645">
        <v>0</v>
      </c>
      <c r="J34" s="406">
        <f t="shared" si="8"/>
        <v>0</v>
      </c>
      <c r="K34" s="407">
        <f t="shared" si="10"/>
        <v>42.400000000000006</v>
      </c>
      <c r="L34" s="407">
        <f t="shared" si="11"/>
        <v>3.5333333333333337</v>
      </c>
      <c r="M34" s="408">
        <f t="shared" si="9"/>
        <v>0.81315001658902764</v>
      </c>
      <c r="N34" s="410"/>
      <c r="O34" s="410"/>
      <c r="P34" s="410"/>
      <c r="Q34" s="410"/>
      <c r="R34" s="410"/>
      <c r="S34" s="410"/>
      <c r="T34" s="410"/>
    </row>
    <row r="35" spans="1:20" ht="38.25" x14ac:dyDescent="0.25">
      <c r="A35" s="870"/>
      <c r="B35" s="405" t="s">
        <v>1035</v>
      </c>
      <c r="C35" s="878" t="s">
        <v>12</v>
      </c>
      <c r="D35" s="878"/>
      <c r="E35" s="641">
        <v>2</v>
      </c>
      <c r="F35" s="639">
        <v>121.53</v>
      </c>
      <c r="G35" s="406">
        <f>E35*F35</f>
        <v>243.06</v>
      </c>
      <c r="H35" s="641">
        <v>1</v>
      </c>
      <c r="I35" s="645">
        <v>0</v>
      </c>
      <c r="J35" s="406">
        <f>G35*I35</f>
        <v>0</v>
      </c>
      <c r="K35" s="407">
        <f t="shared" si="10"/>
        <v>243.06</v>
      </c>
      <c r="L35" s="407">
        <f>K35/12</f>
        <v>20.254999999999999</v>
      </c>
      <c r="M35" s="408">
        <f>K35/52.1429</f>
        <v>4.6614208262294579</v>
      </c>
      <c r="N35" s="410"/>
      <c r="O35" s="410"/>
      <c r="P35" s="410"/>
      <c r="Q35" s="410"/>
      <c r="R35" s="410"/>
      <c r="S35" s="410"/>
      <c r="T35" s="410"/>
    </row>
    <row r="36" spans="1:20" ht="38.25" x14ac:dyDescent="0.25">
      <c r="A36" s="870"/>
      <c r="B36" s="405" t="s">
        <v>313</v>
      </c>
      <c r="C36" s="878" t="s">
        <v>12</v>
      </c>
      <c r="D36" s="878"/>
      <c r="E36" s="641">
        <v>1</v>
      </c>
      <c r="F36" s="639">
        <v>99.9</v>
      </c>
      <c r="G36" s="406">
        <f>E36*F36</f>
        <v>99.9</v>
      </c>
      <c r="H36" s="641">
        <v>1</v>
      </c>
      <c r="I36" s="645">
        <v>0</v>
      </c>
      <c r="J36" s="406">
        <f>G36*I36</f>
        <v>0</v>
      </c>
      <c r="K36" s="407">
        <f t="shared" si="10"/>
        <v>99.9</v>
      </c>
      <c r="L36" s="407">
        <f>K36/12</f>
        <v>8.3250000000000011</v>
      </c>
      <c r="M36" s="408">
        <f>K36/52.1429</f>
        <v>1.9158888362557511</v>
      </c>
      <c r="N36" s="410"/>
      <c r="O36" s="410"/>
      <c r="P36" s="410"/>
      <c r="Q36" s="410"/>
      <c r="R36" s="410"/>
      <c r="S36" s="410"/>
      <c r="T36" s="410"/>
    </row>
    <row r="37" spans="1:20" ht="39" thickBot="1" x14ac:dyDescent="0.3">
      <c r="A37" s="871"/>
      <c r="B37" s="405" t="s">
        <v>707</v>
      </c>
      <c r="C37" s="878" t="s">
        <v>12</v>
      </c>
      <c r="D37" s="878"/>
      <c r="E37" s="641">
        <v>0</v>
      </c>
      <c r="F37" s="639">
        <v>0</v>
      </c>
      <c r="G37" s="406">
        <f>E37*F37</f>
        <v>0</v>
      </c>
      <c r="H37" s="641">
        <v>1</v>
      </c>
      <c r="I37" s="645">
        <v>0</v>
      </c>
      <c r="J37" s="406">
        <f>G37*I37</f>
        <v>0</v>
      </c>
      <c r="K37" s="407">
        <f t="shared" si="10"/>
        <v>0</v>
      </c>
      <c r="L37" s="407">
        <f>K37/12</f>
        <v>0</v>
      </c>
      <c r="M37" s="408">
        <f>K37/52.1429</f>
        <v>0</v>
      </c>
    </row>
    <row r="38" spans="1:20" ht="38.25" thickBot="1" x14ac:dyDescent="0.3">
      <c r="A38" s="866" t="s">
        <v>271</v>
      </c>
      <c r="B38" s="888" t="s">
        <v>291</v>
      </c>
      <c r="C38" s="889"/>
      <c r="D38" s="889"/>
      <c r="E38" s="889"/>
      <c r="F38" s="889"/>
      <c r="G38" s="889"/>
      <c r="H38" s="889"/>
      <c r="I38" s="889"/>
      <c r="J38" s="889"/>
      <c r="K38" s="889"/>
      <c r="L38" s="889"/>
      <c r="M38" s="890"/>
    </row>
    <row r="39" spans="1:20" ht="38.25" x14ac:dyDescent="0.25">
      <c r="A39" s="867"/>
      <c r="B39" s="405" t="s">
        <v>296</v>
      </c>
      <c r="C39" s="878" t="s">
        <v>12</v>
      </c>
      <c r="D39" s="878"/>
      <c r="E39" s="641">
        <v>1</v>
      </c>
      <c r="F39" s="639">
        <v>1199.99</v>
      </c>
      <c r="G39" s="406">
        <f>E39*F39</f>
        <v>1199.99</v>
      </c>
      <c r="H39" s="641">
        <v>20</v>
      </c>
      <c r="I39" s="645">
        <v>0</v>
      </c>
      <c r="J39" s="406">
        <f t="shared" si="8"/>
        <v>0</v>
      </c>
      <c r="K39" s="407">
        <f t="shared" ref="K39:K55" si="12">(G39-J39)/H39</f>
        <v>59.999499999999998</v>
      </c>
      <c r="L39" s="407">
        <f t="shared" si="11"/>
        <v>4.9999583333333328</v>
      </c>
      <c r="M39" s="408">
        <f t="shared" si="9"/>
        <v>1.1506743967059754</v>
      </c>
    </row>
    <row r="40" spans="1:20" ht="38.25" x14ac:dyDescent="0.25">
      <c r="A40" s="867"/>
      <c r="B40" s="405" t="s">
        <v>297</v>
      </c>
      <c r="C40" s="878" t="s">
        <v>12</v>
      </c>
      <c r="D40" s="878"/>
      <c r="E40" s="641">
        <v>1</v>
      </c>
      <c r="F40" s="639">
        <v>2299.9899999999998</v>
      </c>
      <c r="G40" s="406">
        <f t="shared" ref="G40:G52" si="13">E40*F40</f>
        <v>2299.9899999999998</v>
      </c>
      <c r="H40" s="641">
        <v>20</v>
      </c>
      <c r="I40" s="645">
        <v>0</v>
      </c>
      <c r="J40" s="406">
        <f t="shared" si="8"/>
        <v>0</v>
      </c>
      <c r="K40" s="407">
        <f t="shared" si="12"/>
        <v>114.99949999999998</v>
      </c>
      <c r="L40" s="407">
        <f t="shared" si="11"/>
        <v>9.5832916666666659</v>
      </c>
      <c r="M40" s="408">
        <f t="shared" si="9"/>
        <v>2.2054680503002326</v>
      </c>
    </row>
    <row r="41" spans="1:20" ht="38.25" x14ac:dyDescent="0.25">
      <c r="A41" s="867"/>
      <c r="B41" s="405" t="s">
        <v>293</v>
      </c>
      <c r="C41" s="878" t="s">
        <v>12</v>
      </c>
      <c r="D41" s="878"/>
      <c r="E41" s="641">
        <v>1</v>
      </c>
      <c r="F41" s="639">
        <v>1353.26</v>
      </c>
      <c r="G41" s="406">
        <f t="shared" si="13"/>
        <v>1353.26</v>
      </c>
      <c r="H41" s="641">
        <v>20</v>
      </c>
      <c r="I41" s="645">
        <v>0</v>
      </c>
      <c r="J41" s="406">
        <f t="shared" si="8"/>
        <v>0</v>
      </c>
      <c r="K41" s="407">
        <f t="shared" si="12"/>
        <v>67.662999999999997</v>
      </c>
      <c r="L41" s="407">
        <f t="shared" si="11"/>
        <v>5.6385833333333331</v>
      </c>
      <c r="M41" s="408">
        <f t="shared" si="9"/>
        <v>1.2976455087845133</v>
      </c>
    </row>
    <row r="42" spans="1:20" ht="38.25" x14ac:dyDescent="0.25">
      <c r="A42" s="867"/>
      <c r="B42" s="405" t="s">
        <v>905</v>
      </c>
      <c r="C42" s="878" t="s">
        <v>12</v>
      </c>
      <c r="D42" s="878"/>
      <c r="E42" s="641">
        <v>1</v>
      </c>
      <c r="F42" s="639">
        <v>333.4</v>
      </c>
      <c r="G42" s="406">
        <f t="shared" si="13"/>
        <v>333.4</v>
      </c>
      <c r="H42" s="641">
        <v>20</v>
      </c>
      <c r="I42" s="645">
        <v>0</v>
      </c>
      <c r="J42" s="406">
        <f t="shared" si="8"/>
        <v>0</v>
      </c>
      <c r="K42" s="407">
        <f t="shared" si="12"/>
        <v>16.669999999999998</v>
      </c>
      <c r="L42" s="407">
        <f t="shared" si="11"/>
        <v>1.3891666666666664</v>
      </c>
      <c r="M42" s="408">
        <f t="shared" si="9"/>
        <v>0.31969836737120488</v>
      </c>
    </row>
    <row r="43" spans="1:20" ht="38.25" x14ac:dyDescent="0.25">
      <c r="A43" s="867"/>
      <c r="B43" s="405" t="s">
        <v>292</v>
      </c>
      <c r="C43" s="878" t="s">
        <v>12</v>
      </c>
      <c r="D43" s="878"/>
      <c r="E43" s="641">
        <v>1</v>
      </c>
      <c r="F43" s="639">
        <v>1251.5</v>
      </c>
      <c r="G43" s="406">
        <f t="shared" si="13"/>
        <v>1251.5</v>
      </c>
      <c r="H43" s="641">
        <v>20</v>
      </c>
      <c r="I43" s="645">
        <v>0</v>
      </c>
      <c r="J43" s="406">
        <f t="shared" si="8"/>
        <v>0</v>
      </c>
      <c r="K43" s="407">
        <f t="shared" si="12"/>
        <v>62.575000000000003</v>
      </c>
      <c r="L43" s="407">
        <f t="shared" si="11"/>
        <v>5.2145833333333336</v>
      </c>
      <c r="M43" s="408">
        <f t="shared" si="9"/>
        <v>1.2000675067938302</v>
      </c>
    </row>
    <row r="44" spans="1:20" ht="38.25" x14ac:dyDescent="0.25">
      <c r="A44" s="867"/>
      <c r="B44" s="405" t="s">
        <v>298</v>
      </c>
      <c r="C44" s="878" t="s">
        <v>12</v>
      </c>
      <c r="D44" s="878"/>
      <c r="E44" s="641">
        <v>1</v>
      </c>
      <c r="F44" s="639">
        <v>2079.9899999999998</v>
      </c>
      <c r="G44" s="406">
        <f t="shared" si="13"/>
        <v>2079.9899999999998</v>
      </c>
      <c r="H44" s="641">
        <v>20</v>
      </c>
      <c r="I44" s="645">
        <v>0</v>
      </c>
      <c r="J44" s="406">
        <f t="shared" si="8"/>
        <v>0</v>
      </c>
      <c r="K44" s="407">
        <f t="shared" si="12"/>
        <v>103.99949999999998</v>
      </c>
      <c r="L44" s="407">
        <f t="shared" si="11"/>
        <v>8.666624999999998</v>
      </c>
      <c r="M44" s="408">
        <f t="shared" si="9"/>
        <v>1.994509319581381</v>
      </c>
    </row>
    <row r="45" spans="1:20" ht="38.25" x14ac:dyDescent="0.25">
      <c r="A45" s="867"/>
      <c r="B45" s="405" t="s">
        <v>294</v>
      </c>
      <c r="C45" s="878" t="s">
        <v>12</v>
      </c>
      <c r="D45" s="878"/>
      <c r="E45" s="641">
        <v>1</v>
      </c>
      <c r="F45" s="639">
        <v>987.98</v>
      </c>
      <c r="G45" s="406">
        <f t="shared" si="13"/>
        <v>987.98</v>
      </c>
      <c r="H45" s="641">
        <v>20</v>
      </c>
      <c r="I45" s="645">
        <v>0</v>
      </c>
      <c r="J45" s="406">
        <f t="shared" si="8"/>
        <v>0</v>
      </c>
      <c r="K45" s="407">
        <f t="shared" si="12"/>
        <v>49.399000000000001</v>
      </c>
      <c r="L45" s="407">
        <f t="shared" si="11"/>
        <v>4.1165833333333337</v>
      </c>
      <c r="M45" s="408">
        <f t="shared" si="9"/>
        <v>0.94737730352550398</v>
      </c>
    </row>
    <row r="46" spans="1:20" ht="38.25" x14ac:dyDescent="0.25">
      <c r="A46" s="867"/>
      <c r="B46" s="405" t="s">
        <v>295</v>
      </c>
      <c r="C46" s="878" t="s">
        <v>12</v>
      </c>
      <c r="D46" s="878"/>
      <c r="E46" s="641">
        <v>1</v>
      </c>
      <c r="F46" s="639">
        <v>3200</v>
      </c>
      <c r="G46" s="406">
        <f t="shared" si="13"/>
        <v>3200</v>
      </c>
      <c r="H46" s="641">
        <v>20</v>
      </c>
      <c r="I46" s="645">
        <v>0</v>
      </c>
      <c r="J46" s="406">
        <f t="shared" si="8"/>
        <v>0</v>
      </c>
      <c r="K46" s="407">
        <f t="shared" si="12"/>
        <v>160</v>
      </c>
      <c r="L46" s="407">
        <f t="shared" si="11"/>
        <v>13.333333333333334</v>
      </c>
      <c r="M46" s="408">
        <f t="shared" si="9"/>
        <v>3.0684906286378397</v>
      </c>
    </row>
    <row r="47" spans="1:20" ht="38.25" x14ac:dyDescent="0.25">
      <c r="A47" s="867"/>
      <c r="B47" s="405" t="s">
        <v>299</v>
      </c>
      <c r="C47" s="878" t="s">
        <v>12</v>
      </c>
      <c r="D47" s="878"/>
      <c r="E47" s="641">
        <v>3</v>
      </c>
      <c r="F47" s="639">
        <v>0</v>
      </c>
      <c r="G47" s="406">
        <f t="shared" si="13"/>
        <v>0</v>
      </c>
      <c r="H47" s="641">
        <v>5</v>
      </c>
      <c r="I47" s="645">
        <v>0</v>
      </c>
      <c r="J47" s="406">
        <f t="shared" si="8"/>
        <v>0</v>
      </c>
      <c r="K47" s="407">
        <f t="shared" si="12"/>
        <v>0</v>
      </c>
      <c r="L47" s="407">
        <f t="shared" si="11"/>
        <v>0</v>
      </c>
      <c r="M47" s="408">
        <f t="shared" si="9"/>
        <v>0</v>
      </c>
    </row>
    <row r="48" spans="1:20" ht="38.25" x14ac:dyDescent="0.25">
      <c r="A48" s="867"/>
      <c r="B48" s="405" t="s">
        <v>300</v>
      </c>
      <c r="C48" s="878" t="s">
        <v>12</v>
      </c>
      <c r="D48" s="878"/>
      <c r="E48" s="641">
        <v>6</v>
      </c>
      <c r="F48" s="639">
        <v>136.69</v>
      </c>
      <c r="G48" s="406">
        <f t="shared" si="13"/>
        <v>820.14</v>
      </c>
      <c r="H48" s="641">
        <v>20</v>
      </c>
      <c r="I48" s="645">
        <v>0</v>
      </c>
      <c r="J48" s="406">
        <f t="shared" si="8"/>
        <v>0</v>
      </c>
      <c r="K48" s="407">
        <f t="shared" si="12"/>
        <v>41.006999999999998</v>
      </c>
      <c r="L48" s="407">
        <f t="shared" si="11"/>
        <v>3.4172499999999997</v>
      </c>
      <c r="M48" s="408">
        <f t="shared" si="9"/>
        <v>0.78643497005344931</v>
      </c>
    </row>
    <row r="49" spans="1:13" ht="38.25" x14ac:dyDescent="0.25">
      <c r="A49" s="867"/>
      <c r="B49" s="405" t="s">
        <v>301</v>
      </c>
      <c r="C49" s="878" t="s">
        <v>12</v>
      </c>
      <c r="D49" s="878"/>
      <c r="E49" s="641">
        <v>1</v>
      </c>
      <c r="F49" s="646">
        <f>F36</f>
        <v>99.9</v>
      </c>
      <c r="G49" s="406">
        <f t="shared" si="13"/>
        <v>99.9</v>
      </c>
      <c r="H49" s="641">
        <v>5</v>
      </c>
      <c r="I49" s="645">
        <v>0</v>
      </c>
      <c r="J49" s="406">
        <f t="shared" si="8"/>
        <v>0</v>
      </c>
      <c r="K49" s="407">
        <f t="shared" si="12"/>
        <v>19.98</v>
      </c>
      <c r="L49" s="407">
        <f t="shared" si="11"/>
        <v>1.665</v>
      </c>
      <c r="M49" s="408">
        <f t="shared" si="9"/>
        <v>0.38317776725115021</v>
      </c>
    </row>
    <row r="50" spans="1:13" ht="38.25" x14ac:dyDescent="0.25">
      <c r="A50" s="867"/>
      <c r="B50" s="405" t="s">
        <v>302</v>
      </c>
      <c r="C50" s="878" t="s">
        <v>12</v>
      </c>
      <c r="D50" s="878"/>
      <c r="E50" s="641">
        <v>1</v>
      </c>
      <c r="F50" s="639">
        <v>445.1</v>
      </c>
      <c r="G50" s="406">
        <f t="shared" si="13"/>
        <v>445.1</v>
      </c>
      <c r="H50" s="641">
        <v>20</v>
      </c>
      <c r="I50" s="645">
        <v>0</v>
      </c>
      <c r="J50" s="406">
        <f t="shared" si="8"/>
        <v>0</v>
      </c>
      <c r="K50" s="407">
        <f t="shared" si="12"/>
        <v>22.255000000000003</v>
      </c>
      <c r="L50" s="407">
        <f t="shared" si="11"/>
        <v>1.8545833333333335</v>
      </c>
      <c r="M50" s="408">
        <f t="shared" si="9"/>
        <v>0.42680786837709456</v>
      </c>
    </row>
    <row r="51" spans="1:13" ht="38.25" x14ac:dyDescent="0.25">
      <c r="A51" s="867"/>
      <c r="B51" s="405" t="s">
        <v>303</v>
      </c>
      <c r="C51" s="878" t="s">
        <v>12</v>
      </c>
      <c r="D51" s="878"/>
      <c r="E51" s="641">
        <v>1</v>
      </c>
      <c r="F51" s="639">
        <v>229.9</v>
      </c>
      <c r="G51" s="406">
        <f t="shared" si="13"/>
        <v>229.9</v>
      </c>
      <c r="H51" s="641">
        <v>20</v>
      </c>
      <c r="I51" s="645">
        <v>0</v>
      </c>
      <c r="J51" s="406">
        <f t="shared" si="8"/>
        <v>0</v>
      </c>
      <c r="K51" s="407">
        <f t="shared" si="12"/>
        <v>11.495000000000001</v>
      </c>
      <c r="L51" s="407">
        <f t="shared" si="11"/>
        <v>0.95791666666666675</v>
      </c>
      <c r="M51" s="408">
        <f t="shared" si="9"/>
        <v>0.2204518736011998</v>
      </c>
    </row>
    <row r="52" spans="1:13" ht="38.25" x14ac:dyDescent="0.25">
      <c r="A52" s="867"/>
      <c r="B52" s="405" t="s">
        <v>306</v>
      </c>
      <c r="C52" s="878" t="s">
        <v>12</v>
      </c>
      <c r="D52" s="878"/>
      <c r="E52" s="641">
        <v>4</v>
      </c>
      <c r="F52" s="646">
        <f>F34</f>
        <v>4.24</v>
      </c>
      <c r="G52" s="406">
        <f t="shared" si="13"/>
        <v>16.96</v>
      </c>
      <c r="H52" s="641">
        <v>1</v>
      </c>
      <c r="I52" s="645">
        <v>0</v>
      </c>
      <c r="J52" s="406">
        <f t="shared" si="8"/>
        <v>0</v>
      </c>
      <c r="K52" s="407">
        <f t="shared" si="12"/>
        <v>16.96</v>
      </c>
      <c r="L52" s="407">
        <f t="shared" si="11"/>
        <v>1.4133333333333333</v>
      </c>
      <c r="M52" s="408">
        <f t="shared" si="9"/>
        <v>0.325260006635611</v>
      </c>
    </row>
    <row r="53" spans="1:13" ht="38.25" x14ac:dyDescent="0.25">
      <c r="A53" s="867"/>
      <c r="B53" s="405" t="s">
        <v>705</v>
      </c>
      <c r="C53" s="878" t="s">
        <v>12</v>
      </c>
      <c r="D53" s="878"/>
      <c r="E53" s="641">
        <v>0</v>
      </c>
      <c r="F53" s="639">
        <v>0</v>
      </c>
      <c r="G53" s="406">
        <f>E53*F53</f>
        <v>0</v>
      </c>
      <c r="H53" s="641">
        <v>1</v>
      </c>
      <c r="I53" s="645">
        <v>0</v>
      </c>
      <c r="J53" s="406">
        <f>G53*I53</f>
        <v>0</v>
      </c>
      <c r="K53" s="407">
        <f t="shared" si="12"/>
        <v>0</v>
      </c>
      <c r="L53" s="407">
        <f>K53/12</f>
        <v>0</v>
      </c>
      <c r="M53" s="408">
        <f>K53/52.1429</f>
        <v>0</v>
      </c>
    </row>
    <row r="54" spans="1:13" ht="38.25" x14ac:dyDescent="0.25">
      <c r="A54" s="867"/>
      <c r="B54" s="405" t="s">
        <v>706</v>
      </c>
      <c r="C54" s="878" t="s">
        <v>12</v>
      </c>
      <c r="D54" s="878"/>
      <c r="E54" s="641">
        <v>0</v>
      </c>
      <c r="F54" s="639">
        <v>0</v>
      </c>
      <c r="G54" s="406">
        <f>E54*F54</f>
        <v>0</v>
      </c>
      <c r="H54" s="641">
        <v>1</v>
      </c>
      <c r="I54" s="645">
        <v>0</v>
      </c>
      <c r="J54" s="406">
        <f>G54*I54</f>
        <v>0</v>
      </c>
      <c r="K54" s="407">
        <f t="shared" si="12"/>
        <v>0</v>
      </c>
      <c r="L54" s="407">
        <f>K54/12</f>
        <v>0</v>
      </c>
      <c r="M54" s="411">
        <f>K54/52.1429</f>
        <v>0</v>
      </c>
    </row>
    <row r="55" spans="1:13" ht="39" thickBot="1" x14ac:dyDescent="0.3">
      <c r="A55" s="867"/>
      <c r="B55" s="405" t="s">
        <v>707</v>
      </c>
      <c r="C55" s="878" t="s">
        <v>12</v>
      </c>
      <c r="D55" s="878"/>
      <c r="E55" s="641">
        <v>0</v>
      </c>
      <c r="F55" s="639">
        <v>0</v>
      </c>
      <c r="G55" s="406">
        <f>E55*F55</f>
        <v>0</v>
      </c>
      <c r="H55" s="641">
        <v>1</v>
      </c>
      <c r="I55" s="645">
        <v>0</v>
      </c>
      <c r="J55" s="406">
        <f>G55*I55</f>
        <v>0</v>
      </c>
      <c r="K55" s="407">
        <f t="shared" si="12"/>
        <v>0</v>
      </c>
      <c r="L55" s="407">
        <f>K55/12</f>
        <v>0</v>
      </c>
      <c r="M55" s="408">
        <f>K55/52.1429</f>
        <v>0</v>
      </c>
    </row>
    <row r="56" spans="1:13" ht="38.25" thickBot="1" x14ac:dyDescent="0.3">
      <c r="A56" s="867"/>
      <c r="B56" s="888" t="s">
        <v>307</v>
      </c>
      <c r="C56" s="889"/>
      <c r="D56" s="889"/>
      <c r="E56" s="889"/>
      <c r="F56" s="889"/>
      <c r="G56" s="889"/>
      <c r="H56" s="889"/>
      <c r="I56" s="889"/>
      <c r="J56" s="889"/>
      <c r="K56" s="889"/>
      <c r="L56" s="889"/>
      <c r="M56" s="890"/>
    </row>
    <row r="57" spans="1:13" ht="38.25" x14ac:dyDescent="0.25">
      <c r="A57" s="867"/>
      <c r="B57" s="405" t="s">
        <v>439</v>
      </c>
      <c r="C57" s="878" t="s">
        <v>12</v>
      </c>
      <c r="D57" s="878"/>
      <c r="E57" s="574">
        <f>'Plantel produtivo'!I20</f>
        <v>11.783333333333333</v>
      </c>
      <c r="F57" s="646">
        <f>F30</f>
        <v>14.74</v>
      </c>
      <c r="G57" s="406">
        <f t="shared" ref="G57:G62" si="14">E57*F57</f>
        <v>173.68633333333332</v>
      </c>
      <c r="H57" s="641">
        <v>10</v>
      </c>
      <c r="I57" s="645">
        <v>0</v>
      </c>
      <c r="J57" s="406">
        <f t="shared" ref="J57:J65" si="15">G57*I57</f>
        <v>0</v>
      </c>
      <c r="K57" s="407">
        <f t="shared" ref="K57:K65" si="16">(G57-J57)/H57</f>
        <v>17.368633333333332</v>
      </c>
      <c r="L57" s="407">
        <f t="shared" ref="L57:L72" si="17">K57/12</f>
        <v>1.447386111111111</v>
      </c>
      <c r="M57" s="408">
        <f t="shared" ref="M57:M72" si="18">K57/52.1429</f>
        <v>0.33309680384737583</v>
      </c>
    </row>
    <row r="58" spans="1:13" ht="76.5" x14ac:dyDescent="0.25">
      <c r="A58" s="867"/>
      <c r="B58" s="405" t="s">
        <v>440</v>
      </c>
      <c r="C58" s="878" t="s">
        <v>12</v>
      </c>
      <c r="D58" s="878"/>
      <c r="E58" s="641">
        <v>2</v>
      </c>
      <c r="F58" s="646">
        <f>F32</f>
        <v>206.3</v>
      </c>
      <c r="G58" s="406">
        <f t="shared" si="14"/>
        <v>412.6</v>
      </c>
      <c r="H58" s="641">
        <v>20</v>
      </c>
      <c r="I58" s="645">
        <v>0</v>
      </c>
      <c r="J58" s="406">
        <f t="shared" si="15"/>
        <v>0</v>
      </c>
      <c r="K58" s="407">
        <f t="shared" si="16"/>
        <v>20.630000000000003</v>
      </c>
      <c r="L58" s="407">
        <f t="shared" si="17"/>
        <v>1.719166666666667</v>
      </c>
      <c r="M58" s="408">
        <f t="shared" si="18"/>
        <v>0.39564351042999152</v>
      </c>
    </row>
    <row r="59" spans="1:13" ht="38.25" x14ac:dyDescent="0.25">
      <c r="A59" s="867"/>
      <c r="B59" s="405" t="s">
        <v>287</v>
      </c>
      <c r="C59" s="878" t="s">
        <v>12</v>
      </c>
      <c r="D59" s="878"/>
      <c r="E59" s="641">
        <v>2</v>
      </c>
      <c r="F59" s="646">
        <f>F31</f>
        <v>30.2</v>
      </c>
      <c r="G59" s="406">
        <f t="shared" si="14"/>
        <v>60.4</v>
      </c>
      <c r="H59" s="641">
        <v>20</v>
      </c>
      <c r="I59" s="645">
        <v>0</v>
      </c>
      <c r="J59" s="406">
        <f t="shared" si="15"/>
        <v>0</v>
      </c>
      <c r="K59" s="407">
        <f t="shared" si="16"/>
        <v>3.02</v>
      </c>
      <c r="L59" s="407">
        <f t="shared" si="17"/>
        <v>0.25166666666666665</v>
      </c>
      <c r="M59" s="408">
        <f t="shared" si="18"/>
        <v>5.7917760615539222E-2</v>
      </c>
    </row>
    <row r="60" spans="1:13" ht="38.25" x14ac:dyDescent="0.25">
      <c r="A60" s="867"/>
      <c r="B60" s="405" t="s">
        <v>305</v>
      </c>
      <c r="C60" s="878" t="s">
        <v>891</v>
      </c>
      <c r="D60" s="878"/>
      <c r="E60" s="574">
        <f>D7*E7</f>
        <v>70.7</v>
      </c>
      <c r="F60" s="646">
        <f>F33</f>
        <v>10.199999999999999</v>
      </c>
      <c r="G60" s="406">
        <f t="shared" si="14"/>
        <v>721.14</v>
      </c>
      <c r="H60" s="641">
        <v>20</v>
      </c>
      <c r="I60" s="645">
        <v>0</v>
      </c>
      <c r="J60" s="406">
        <f t="shared" si="15"/>
        <v>0</v>
      </c>
      <c r="K60" s="407">
        <f t="shared" si="16"/>
        <v>36.057000000000002</v>
      </c>
      <c r="L60" s="407">
        <f t="shared" si="17"/>
        <v>3.00475</v>
      </c>
      <c r="M60" s="408">
        <f t="shared" si="18"/>
        <v>0.69150354122996616</v>
      </c>
    </row>
    <row r="61" spans="1:13" ht="38.25" x14ac:dyDescent="0.25">
      <c r="A61" s="867"/>
      <c r="B61" s="405" t="s">
        <v>306</v>
      </c>
      <c r="C61" s="878" t="s">
        <v>12</v>
      </c>
      <c r="D61" s="878"/>
      <c r="E61" s="641">
        <v>4</v>
      </c>
      <c r="F61" s="646">
        <f>F52</f>
        <v>4.24</v>
      </c>
      <c r="G61" s="406">
        <f t="shared" si="14"/>
        <v>16.96</v>
      </c>
      <c r="H61" s="641">
        <v>1</v>
      </c>
      <c r="I61" s="645">
        <v>0</v>
      </c>
      <c r="J61" s="406">
        <f t="shared" si="15"/>
        <v>0</v>
      </c>
      <c r="K61" s="407">
        <f t="shared" si="16"/>
        <v>16.96</v>
      </c>
      <c r="L61" s="407">
        <f t="shared" si="17"/>
        <v>1.4133333333333333</v>
      </c>
      <c r="M61" s="408">
        <f t="shared" si="18"/>
        <v>0.325260006635611</v>
      </c>
    </row>
    <row r="62" spans="1:13" ht="38.25" x14ac:dyDescent="0.25">
      <c r="A62" s="867"/>
      <c r="B62" s="405" t="s">
        <v>1035</v>
      </c>
      <c r="C62" s="878" t="s">
        <v>12</v>
      </c>
      <c r="D62" s="878"/>
      <c r="E62" s="641">
        <v>1</v>
      </c>
      <c r="F62" s="646">
        <f>F35</f>
        <v>121.53</v>
      </c>
      <c r="G62" s="406">
        <f t="shared" si="14"/>
        <v>121.53</v>
      </c>
      <c r="H62" s="641">
        <v>5</v>
      </c>
      <c r="I62" s="645">
        <v>0</v>
      </c>
      <c r="J62" s="406">
        <f t="shared" si="15"/>
        <v>0</v>
      </c>
      <c r="K62" s="407">
        <f t="shared" si="16"/>
        <v>24.306000000000001</v>
      </c>
      <c r="L62" s="407">
        <f t="shared" si="17"/>
        <v>2.0255000000000001</v>
      </c>
      <c r="M62" s="408">
        <f t="shared" si="18"/>
        <v>0.46614208262294582</v>
      </c>
    </row>
    <row r="63" spans="1:13" ht="38.25" x14ac:dyDescent="0.25">
      <c r="A63" s="867"/>
      <c r="B63" s="405" t="s">
        <v>313</v>
      </c>
      <c r="C63" s="878" t="s">
        <v>12</v>
      </c>
      <c r="D63" s="878"/>
      <c r="E63" s="641">
        <v>1</v>
      </c>
      <c r="F63" s="646">
        <f>F49</f>
        <v>99.9</v>
      </c>
      <c r="G63" s="406">
        <f>E63*F63</f>
        <v>99.9</v>
      </c>
      <c r="H63" s="641">
        <v>1</v>
      </c>
      <c r="I63" s="645">
        <v>0</v>
      </c>
      <c r="J63" s="406">
        <f t="shared" si="15"/>
        <v>0</v>
      </c>
      <c r="K63" s="407">
        <f t="shared" si="16"/>
        <v>99.9</v>
      </c>
      <c r="L63" s="407">
        <f>K63/12</f>
        <v>8.3250000000000011</v>
      </c>
      <c r="M63" s="408">
        <f>K63/52.1429</f>
        <v>1.9158888362557511</v>
      </c>
    </row>
    <row r="64" spans="1:13" ht="38.25" x14ac:dyDescent="0.25">
      <c r="A64" s="867"/>
      <c r="B64" s="405" t="s">
        <v>706</v>
      </c>
      <c r="C64" s="878" t="s">
        <v>12</v>
      </c>
      <c r="D64" s="878"/>
      <c r="E64" s="641">
        <v>0</v>
      </c>
      <c r="F64" s="639">
        <v>0</v>
      </c>
      <c r="G64" s="406">
        <f>E64*F64</f>
        <v>0</v>
      </c>
      <c r="H64" s="641">
        <v>1</v>
      </c>
      <c r="I64" s="645">
        <v>0</v>
      </c>
      <c r="J64" s="406">
        <f t="shared" si="15"/>
        <v>0</v>
      </c>
      <c r="K64" s="407">
        <f t="shared" si="16"/>
        <v>0</v>
      </c>
      <c r="L64" s="407">
        <f>K64/12</f>
        <v>0</v>
      </c>
      <c r="M64" s="408">
        <f>K64/52.1429</f>
        <v>0</v>
      </c>
    </row>
    <row r="65" spans="1:13" ht="39" thickBot="1" x14ac:dyDescent="0.3">
      <c r="A65" s="867"/>
      <c r="B65" s="405" t="s">
        <v>707</v>
      </c>
      <c r="C65" s="878" t="s">
        <v>12</v>
      </c>
      <c r="D65" s="878"/>
      <c r="E65" s="641">
        <v>0</v>
      </c>
      <c r="F65" s="639">
        <v>0</v>
      </c>
      <c r="G65" s="406">
        <f>E65*F65</f>
        <v>0</v>
      </c>
      <c r="H65" s="641">
        <v>1</v>
      </c>
      <c r="I65" s="645">
        <v>0</v>
      </c>
      <c r="J65" s="406">
        <f t="shared" si="15"/>
        <v>0</v>
      </c>
      <c r="K65" s="407">
        <f t="shared" si="16"/>
        <v>0</v>
      </c>
      <c r="L65" s="407">
        <f>K65/12</f>
        <v>0</v>
      </c>
      <c r="M65" s="408">
        <f>K65/52.1429</f>
        <v>0</v>
      </c>
    </row>
    <row r="66" spans="1:13" ht="38.25" thickBot="1" x14ac:dyDescent="0.3">
      <c r="A66" s="867"/>
      <c r="B66" s="888" t="s">
        <v>308</v>
      </c>
      <c r="C66" s="889"/>
      <c r="D66" s="889"/>
      <c r="E66" s="889"/>
      <c r="F66" s="889"/>
      <c r="G66" s="889"/>
      <c r="H66" s="889"/>
      <c r="I66" s="889"/>
      <c r="J66" s="889"/>
      <c r="K66" s="889"/>
      <c r="L66" s="889"/>
      <c r="M66" s="890"/>
    </row>
    <row r="67" spans="1:13" ht="38.25" x14ac:dyDescent="0.25">
      <c r="A67" s="867"/>
      <c r="B67" s="405" t="s">
        <v>441</v>
      </c>
      <c r="C67" s="878" t="s">
        <v>12</v>
      </c>
      <c r="D67" s="878"/>
      <c r="E67" s="574">
        <f>'Plantel produtivo'!I21</f>
        <v>17.675000000000001</v>
      </c>
      <c r="F67" s="646">
        <f t="shared" ref="F67:F73" si="19">F57</f>
        <v>14.74</v>
      </c>
      <c r="G67" s="406">
        <f t="shared" ref="G67:G72" si="20">E67*F67</f>
        <v>260.52950000000004</v>
      </c>
      <c r="H67" s="641">
        <v>10</v>
      </c>
      <c r="I67" s="645">
        <v>0</v>
      </c>
      <c r="J67" s="406">
        <f t="shared" ref="J67:J72" si="21">G67*I67</f>
        <v>0</v>
      </c>
      <c r="K67" s="407">
        <f t="shared" ref="K67:K75" si="22">(G67-J67)/H67</f>
        <v>26.052950000000003</v>
      </c>
      <c r="L67" s="407">
        <f t="shared" si="17"/>
        <v>2.1710791666666669</v>
      </c>
      <c r="M67" s="408">
        <f t="shared" si="18"/>
        <v>0.49964520577106381</v>
      </c>
    </row>
    <row r="68" spans="1:13" ht="76.5" x14ac:dyDescent="0.25">
      <c r="A68" s="867"/>
      <c r="B68" s="405" t="s">
        <v>442</v>
      </c>
      <c r="C68" s="878" t="s">
        <v>12</v>
      </c>
      <c r="D68" s="878"/>
      <c r="E68" s="641">
        <v>3</v>
      </c>
      <c r="F68" s="646">
        <f t="shared" si="19"/>
        <v>206.3</v>
      </c>
      <c r="G68" s="406">
        <f t="shared" si="20"/>
        <v>618.90000000000009</v>
      </c>
      <c r="H68" s="641">
        <v>20</v>
      </c>
      <c r="I68" s="645">
        <v>0</v>
      </c>
      <c r="J68" s="406">
        <f t="shared" si="21"/>
        <v>0</v>
      </c>
      <c r="K68" s="407">
        <f t="shared" si="22"/>
        <v>30.945000000000004</v>
      </c>
      <c r="L68" s="407">
        <f t="shared" si="17"/>
        <v>2.5787500000000003</v>
      </c>
      <c r="M68" s="408">
        <f t="shared" si="18"/>
        <v>0.59346526564498725</v>
      </c>
    </row>
    <row r="69" spans="1:13" ht="38.25" x14ac:dyDescent="0.25">
      <c r="A69" s="867"/>
      <c r="B69" s="405" t="s">
        <v>287</v>
      </c>
      <c r="C69" s="878" t="s">
        <v>12</v>
      </c>
      <c r="D69" s="878"/>
      <c r="E69" s="641">
        <v>3</v>
      </c>
      <c r="F69" s="646">
        <f t="shared" si="19"/>
        <v>30.2</v>
      </c>
      <c r="G69" s="406">
        <f t="shared" si="20"/>
        <v>90.6</v>
      </c>
      <c r="H69" s="641">
        <v>20</v>
      </c>
      <c r="I69" s="645">
        <v>0</v>
      </c>
      <c r="J69" s="406">
        <f t="shared" si="21"/>
        <v>0</v>
      </c>
      <c r="K69" s="407">
        <f t="shared" si="22"/>
        <v>4.5299999999999994</v>
      </c>
      <c r="L69" s="407">
        <f t="shared" si="17"/>
        <v>0.37749999999999995</v>
      </c>
      <c r="M69" s="408">
        <f t="shared" si="18"/>
        <v>8.6876640923308823E-2</v>
      </c>
    </row>
    <row r="70" spans="1:13" ht="38.25" x14ac:dyDescent="0.25">
      <c r="A70" s="867"/>
      <c r="B70" s="405" t="s">
        <v>305</v>
      </c>
      <c r="C70" s="878" t="s">
        <v>891</v>
      </c>
      <c r="D70" s="878"/>
      <c r="E70" s="574">
        <f>D8*E8</f>
        <v>88.375</v>
      </c>
      <c r="F70" s="646">
        <f t="shared" si="19"/>
        <v>10.199999999999999</v>
      </c>
      <c r="G70" s="406">
        <f t="shared" si="20"/>
        <v>901.42499999999995</v>
      </c>
      <c r="H70" s="641">
        <v>20</v>
      </c>
      <c r="I70" s="645">
        <v>0</v>
      </c>
      <c r="J70" s="406">
        <f t="shared" si="21"/>
        <v>0</v>
      </c>
      <c r="K70" s="407">
        <f t="shared" si="22"/>
        <v>45.071249999999999</v>
      </c>
      <c r="L70" s="407">
        <f t="shared" si="17"/>
        <v>3.7559374999999999</v>
      </c>
      <c r="M70" s="408">
        <f t="shared" si="18"/>
        <v>0.8643794265374577</v>
      </c>
    </row>
    <row r="71" spans="1:13" ht="38.25" x14ac:dyDescent="0.25">
      <c r="A71" s="867"/>
      <c r="B71" s="405" t="s">
        <v>306</v>
      </c>
      <c r="C71" s="878" t="s">
        <v>12</v>
      </c>
      <c r="D71" s="878"/>
      <c r="E71" s="641">
        <v>4</v>
      </c>
      <c r="F71" s="646">
        <f t="shared" si="19"/>
        <v>4.24</v>
      </c>
      <c r="G71" s="406">
        <f t="shared" si="20"/>
        <v>16.96</v>
      </c>
      <c r="H71" s="641">
        <v>1</v>
      </c>
      <c r="I71" s="645">
        <v>0</v>
      </c>
      <c r="J71" s="406">
        <f t="shared" si="21"/>
        <v>0</v>
      </c>
      <c r="K71" s="407">
        <f t="shared" si="22"/>
        <v>16.96</v>
      </c>
      <c r="L71" s="407">
        <f t="shared" si="17"/>
        <v>1.4133333333333333</v>
      </c>
      <c r="M71" s="408">
        <f t="shared" si="18"/>
        <v>0.325260006635611</v>
      </c>
    </row>
    <row r="72" spans="1:13" ht="38.25" x14ac:dyDescent="0.25">
      <c r="A72" s="867"/>
      <c r="B72" s="405" t="s">
        <v>1035</v>
      </c>
      <c r="C72" s="878" t="s">
        <v>12</v>
      </c>
      <c r="D72" s="878"/>
      <c r="E72" s="641">
        <v>1</v>
      </c>
      <c r="F72" s="646">
        <f t="shared" si="19"/>
        <v>121.53</v>
      </c>
      <c r="G72" s="406">
        <f t="shared" si="20"/>
        <v>121.53</v>
      </c>
      <c r="H72" s="641">
        <v>5</v>
      </c>
      <c r="I72" s="645">
        <v>0</v>
      </c>
      <c r="J72" s="406">
        <f t="shared" si="21"/>
        <v>0</v>
      </c>
      <c r="K72" s="407">
        <f t="shared" si="22"/>
        <v>24.306000000000001</v>
      </c>
      <c r="L72" s="407">
        <f t="shared" si="17"/>
        <v>2.0255000000000001</v>
      </c>
      <c r="M72" s="408">
        <f t="shared" si="18"/>
        <v>0.46614208262294582</v>
      </c>
    </row>
    <row r="73" spans="1:13" ht="38.25" x14ac:dyDescent="0.25">
      <c r="A73" s="867"/>
      <c r="B73" s="405" t="s">
        <v>313</v>
      </c>
      <c r="C73" s="878" t="s">
        <v>12</v>
      </c>
      <c r="D73" s="878"/>
      <c r="E73" s="641">
        <v>1</v>
      </c>
      <c r="F73" s="646">
        <f t="shared" si="19"/>
        <v>99.9</v>
      </c>
      <c r="G73" s="406">
        <f>E73*F73</f>
        <v>99.9</v>
      </c>
      <c r="H73" s="641">
        <v>1</v>
      </c>
      <c r="I73" s="645">
        <v>0</v>
      </c>
      <c r="J73" s="406">
        <f>G73*I73</f>
        <v>0</v>
      </c>
      <c r="K73" s="407">
        <f t="shared" si="22"/>
        <v>99.9</v>
      </c>
      <c r="L73" s="407">
        <f>K73/12</f>
        <v>8.3250000000000011</v>
      </c>
      <c r="M73" s="408">
        <f>K73/52.1429</f>
        <v>1.9158888362557511</v>
      </c>
    </row>
    <row r="74" spans="1:13" ht="38.25" x14ac:dyDescent="0.25">
      <c r="A74" s="867"/>
      <c r="B74" s="405" t="s">
        <v>706</v>
      </c>
      <c r="C74" s="878" t="s">
        <v>12</v>
      </c>
      <c r="D74" s="878"/>
      <c r="E74" s="641">
        <v>0</v>
      </c>
      <c r="F74" s="639">
        <v>0</v>
      </c>
      <c r="G74" s="406">
        <f>E74*F74</f>
        <v>0</v>
      </c>
      <c r="H74" s="641">
        <v>1</v>
      </c>
      <c r="I74" s="645">
        <v>0</v>
      </c>
      <c r="J74" s="406">
        <f>G74*I74</f>
        <v>0</v>
      </c>
      <c r="K74" s="407">
        <f t="shared" si="22"/>
        <v>0</v>
      </c>
      <c r="L74" s="407">
        <f>K74/12</f>
        <v>0</v>
      </c>
      <c r="M74" s="408">
        <f>K74/52.1429</f>
        <v>0</v>
      </c>
    </row>
    <row r="75" spans="1:13" ht="39" thickBot="1" x14ac:dyDescent="0.3">
      <c r="A75" s="867"/>
      <c r="B75" s="405" t="s">
        <v>707</v>
      </c>
      <c r="C75" s="878" t="s">
        <v>12</v>
      </c>
      <c r="D75" s="878"/>
      <c r="E75" s="641">
        <v>0</v>
      </c>
      <c r="F75" s="639">
        <v>0</v>
      </c>
      <c r="G75" s="406">
        <f>E75*F75</f>
        <v>0</v>
      </c>
      <c r="H75" s="641">
        <v>1</v>
      </c>
      <c r="I75" s="645">
        <v>0</v>
      </c>
      <c r="J75" s="406">
        <f>G75*I75</f>
        <v>0</v>
      </c>
      <c r="K75" s="407">
        <f t="shared" si="22"/>
        <v>0</v>
      </c>
      <c r="L75" s="407">
        <f>K75/12</f>
        <v>0</v>
      </c>
      <c r="M75" s="408">
        <f>K75/52.1429</f>
        <v>0</v>
      </c>
    </row>
    <row r="76" spans="1:13" ht="38.25" thickBot="1" x14ac:dyDescent="0.3">
      <c r="A76" s="867"/>
      <c r="B76" s="888" t="s">
        <v>103</v>
      </c>
      <c r="C76" s="889"/>
      <c r="D76" s="889"/>
      <c r="E76" s="889"/>
      <c r="F76" s="889"/>
      <c r="G76" s="889"/>
      <c r="H76" s="889"/>
      <c r="I76" s="889"/>
      <c r="J76" s="889"/>
      <c r="K76" s="889"/>
      <c r="L76" s="889"/>
      <c r="M76" s="890"/>
    </row>
    <row r="77" spans="1:13" x14ac:dyDescent="0.25">
      <c r="A77" s="867"/>
      <c r="B77" s="908" t="s">
        <v>290</v>
      </c>
      <c r="C77" s="909"/>
      <c r="D77" s="909"/>
      <c r="E77" s="909"/>
      <c r="F77" s="909"/>
      <c r="G77" s="909"/>
      <c r="H77" s="909"/>
      <c r="I77" s="909"/>
      <c r="J77" s="909"/>
      <c r="K77" s="909"/>
      <c r="L77" s="909"/>
      <c r="M77" s="910"/>
    </row>
    <row r="78" spans="1:13" ht="76.5" x14ac:dyDescent="0.25">
      <c r="A78" s="867"/>
      <c r="B78" s="405" t="s">
        <v>446</v>
      </c>
      <c r="C78" s="878" t="s">
        <v>914</v>
      </c>
      <c r="D78" s="878"/>
      <c r="E78" s="574">
        <v>5</v>
      </c>
      <c r="F78" s="639">
        <v>10872.67</v>
      </c>
      <c r="G78" s="406">
        <f t="shared" ref="G78:G158" si="23">E78*F78</f>
        <v>54363.35</v>
      </c>
      <c r="H78" s="641">
        <v>20</v>
      </c>
      <c r="I78" s="645">
        <v>0</v>
      </c>
      <c r="J78" s="406">
        <f t="shared" si="8"/>
        <v>0</v>
      </c>
      <c r="K78" s="407">
        <f t="shared" ref="K78:K88" si="24">(G78-J78)/H78</f>
        <v>2718.1675</v>
      </c>
      <c r="L78" s="407">
        <f t="shared" si="11"/>
        <v>226.51395833333333</v>
      </c>
      <c r="M78" s="408">
        <f t="shared" si="9"/>
        <v>52.129196880112154</v>
      </c>
    </row>
    <row r="79" spans="1:13" ht="38.25" x14ac:dyDescent="0.25">
      <c r="A79" s="867"/>
      <c r="B79" s="405" t="s">
        <v>443</v>
      </c>
      <c r="C79" s="878" t="s">
        <v>12</v>
      </c>
      <c r="D79" s="878"/>
      <c r="E79" s="574">
        <f>'Plantel produtivo'!I26</f>
        <v>1640.7598927841555</v>
      </c>
      <c r="F79" s="639">
        <v>680</v>
      </c>
      <c r="G79" s="406">
        <f t="shared" si="23"/>
        <v>1115716.7270932258</v>
      </c>
      <c r="H79" s="641">
        <v>20</v>
      </c>
      <c r="I79" s="645">
        <v>0</v>
      </c>
      <c r="J79" s="406">
        <f t="shared" si="8"/>
        <v>0</v>
      </c>
      <c r="K79" s="407">
        <f t="shared" si="24"/>
        <v>55785.836354661289</v>
      </c>
      <c r="L79" s="407">
        <f t="shared" si="11"/>
        <v>4648.8196962217744</v>
      </c>
      <c r="M79" s="408">
        <f t="shared" si="9"/>
        <v>1069.8644754062641</v>
      </c>
    </row>
    <row r="80" spans="1:13" ht="38.25" x14ac:dyDescent="0.25">
      <c r="A80" s="867"/>
      <c r="B80" s="405" t="s">
        <v>444</v>
      </c>
      <c r="C80" s="878" t="s">
        <v>12</v>
      </c>
      <c r="D80" s="878"/>
      <c r="E80" s="574">
        <f>E79/2</f>
        <v>820.37994639207773</v>
      </c>
      <c r="F80" s="646">
        <f>F67</f>
        <v>14.74</v>
      </c>
      <c r="G80" s="406">
        <f t="shared" si="23"/>
        <v>12092.400409819225</v>
      </c>
      <c r="H80" s="641">
        <v>10</v>
      </c>
      <c r="I80" s="645">
        <v>0</v>
      </c>
      <c r="J80" s="406">
        <f t="shared" si="8"/>
        <v>0</v>
      </c>
      <c r="K80" s="407">
        <f t="shared" si="24"/>
        <v>1209.2400409819224</v>
      </c>
      <c r="L80" s="407">
        <f t="shared" si="11"/>
        <v>100.7700034151602</v>
      </c>
      <c r="M80" s="408">
        <f t="shared" si="9"/>
        <v>23.190885834541664</v>
      </c>
    </row>
    <row r="81" spans="1:13" ht="38.25" x14ac:dyDescent="0.25">
      <c r="A81" s="867"/>
      <c r="B81" s="405" t="s">
        <v>309</v>
      </c>
      <c r="C81" s="878" t="s">
        <v>12</v>
      </c>
      <c r="D81" s="878"/>
      <c r="E81" s="641">
        <v>35</v>
      </c>
      <c r="F81" s="639">
        <v>1687</v>
      </c>
      <c r="G81" s="406">
        <f t="shared" si="23"/>
        <v>59045</v>
      </c>
      <c r="H81" s="641">
        <v>20</v>
      </c>
      <c r="I81" s="645">
        <v>0</v>
      </c>
      <c r="J81" s="406">
        <f t="shared" si="8"/>
        <v>0</v>
      </c>
      <c r="K81" s="407">
        <f t="shared" si="24"/>
        <v>2952.25</v>
      </c>
      <c r="L81" s="407">
        <f t="shared" si="11"/>
        <v>246.02083333333334</v>
      </c>
      <c r="M81" s="408">
        <f t="shared" si="9"/>
        <v>56.61844661497539</v>
      </c>
    </row>
    <row r="82" spans="1:13" ht="38.25" x14ac:dyDescent="0.25">
      <c r="A82" s="867"/>
      <c r="B82" s="405" t="s">
        <v>310</v>
      </c>
      <c r="C82" s="878" t="s">
        <v>12</v>
      </c>
      <c r="D82" s="878"/>
      <c r="E82" s="641">
        <v>1</v>
      </c>
      <c r="F82" s="639">
        <v>2299.9899999999998</v>
      </c>
      <c r="G82" s="406">
        <f t="shared" si="23"/>
        <v>2299.9899999999998</v>
      </c>
      <c r="H82" s="641">
        <v>20</v>
      </c>
      <c r="I82" s="645">
        <v>0</v>
      </c>
      <c r="J82" s="406">
        <f t="shared" si="8"/>
        <v>0</v>
      </c>
      <c r="K82" s="407">
        <f t="shared" si="24"/>
        <v>114.99949999999998</v>
      </c>
      <c r="L82" s="407">
        <f t="shared" si="11"/>
        <v>9.5832916666666659</v>
      </c>
      <c r="M82" s="408">
        <f t="shared" si="9"/>
        <v>2.2054680503002326</v>
      </c>
    </row>
    <row r="83" spans="1:13" ht="38.25" x14ac:dyDescent="0.25">
      <c r="A83" s="867"/>
      <c r="B83" s="405" t="s">
        <v>305</v>
      </c>
      <c r="C83" s="878" t="s">
        <v>891</v>
      </c>
      <c r="D83" s="878"/>
      <c r="E83" s="574">
        <f>D9*E9</f>
        <v>2297.0638498978174</v>
      </c>
      <c r="F83" s="646">
        <f>F70</f>
        <v>10.199999999999999</v>
      </c>
      <c r="G83" s="406">
        <f t="shared" si="23"/>
        <v>23430.051268957737</v>
      </c>
      <c r="H83" s="641">
        <v>20</v>
      </c>
      <c r="I83" s="645">
        <v>0</v>
      </c>
      <c r="J83" s="406">
        <f t="shared" si="8"/>
        <v>0</v>
      </c>
      <c r="K83" s="407">
        <f t="shared" si="24"/>
        <v>1171.5025634478868</v>
      </c>
      <c r="L83" s="407">
        <f t="shared" si="11"/>
        <v>97.625213620657235</v>
      </c>
      <c r="M83" s="408">
        <f t="shared" si="9"/>
        <v>22.467153983531542</v>
      </c>
    </row>
    <row r="84" spans="1:13" ht="38.25" x14ac:dyDescent="0.25">
      <c r="A84" s="867"/>
      <c r="B84" s="405" t="s">
        <v>306</v>
      </c>
      <c r="C84" s="878" t="s">
        <v>12</v>
      </c>
      <c r="D84" s="878"/>
      <c r="E84" s="641">
        <v>50</v>
      </c>
      <c r="F84" s="646">
        <f>F71</f>
        <v>4.24</v>
      </c>
      <c r="G84" s="406">
        <f t="shared" si="23"/>
        <v>212</v>
      </c>
      <c r="H84" s="641">
        <v>1</v>
      </c>
      <c r="I84" s="645">
        <v>0</v>
      </c>
      <c r="J84" s="406">
        <f>G84*I84</f>
        <v>0</v>
      </c>
      <c r="K84" s="407">
        <f t="shared" si="24"/>
        <v>212</v>
      </c>
      <c r="L84" s="407">
        <f>K84/12</f>
        <v>17.666666666666668</v>
      </c>
      <c r="M84" s="408">
        <f>K84/52.1429</f>
        <v>4.0657500829451374</v>
      </c>
    </row>
    <row r="85" spans="1:13" ht="38.25" x14ac:dyDescent="0.25">
      <c r="A85" s="867"/>
      <c r="B85" s="405" t="s">
        <v>1035</v>
      </c>
      <c r="C85" s="878" t="s">
        <v>12</v>
      </c>
      <c r="D85" s="878"/>
      <c r="E85" s="641">
        <v>5</v>
      </c>
      <c r="F85" s="646">
        <f>F72</f>
        <v>121.53</v>
      </c>
      <c r="G85" s="406">
        <f t="shared" si="23"/>
        <v>607.65</v>
      </c>
      <c r="H85" s="641">
        <v>5</v>
      </c>
      <c r="I85" s="645">
        <v>0</v>
      </c>
      <c r="J85" s="406">
        <f t="shared" si="8"/>
        <v>0</v>
      </c>
      <c r="K85" s="407">
        <f t="shared" si="24"/>
        <v>121.53</v>
      </c>
      <c r="L85" s="407">
        <f t="shared" si="11"/>
        <v>10.1275</v>
      </c>
      <c r="M85" s="408">
        <f t="shared" si="9"/>
        <v>2.3307104131147289</v>
      </c>
    </row>
    <row r="86" spans="1:13" ht="38.25" x14ac:dyDescent="0.25">
      <c r="A86" s="867"/>
      <c r="B86" s="405" t="s">
        <v>313</v>
      </c>
      <c r="C86" s="878" t="s">
        <v>12</v>
      </c>
      <c r="D86" s="878"/>
      <c r="E86" s="641">
        <v>5</v>
      </c>
      <c r="F86" s="646">
        <f>F73</f>
        <v>99.9</v>
      </c>
      <c r="G86" s="406">
        <f>E86*F86</f>
        <v>499.5</v>
      </c>
      <c r="H86" s="641">
        <v>1</v>
      </c>
      <c r="I86" s="645">
        <v>0</v>
      </c>
      <c r="J86" s="406">
        <f>G86*I86</f>
        <v>0</v>
      </c>
      <c r="K86" s="407">
        <f t="shared" si="24"/>
        <v>499.5</v>
      </c>
      <c r="L86" s="407">
        <f>K86/12</f>
        <v>41.625</v>
      </c>
      <c r="M86" s="408">
        <f>K86/52.1429</f>
        <v>9.5794441812787561</v>
      </c>
    </row>
    <row r="87" spans="1:13" ht="38.25" x14ac:dyDescent="0.25">
      <c r="A87" s="867"/>
      <c r="B87" s="405" t="s">
        <v>706</v>
      </c>
      <c r="C87" s="878" t="s">
        <v>12</v>
      </c>
      <c r="D87" s="878"/>
      <c r="E87" s="641">
        <v>0</v>
      </c>
      <c r="F87" s="639">
        <v>0</v>
      </c>
      <c r="G87" s="406">
        <f>E87*F87</f>
        <v>0</v>
      </c>
      <c r="H87" s="641">
        <v>1</v>
      </c>
      <c r="I87" s="645">
        <v>0</v>
      </c>
      <c r="J87" s="406">
        <f>G87*I87</f>
        <v>0</v>
      </c>
      <c r="K87" s="407">
        <f t="shared" si="24"/>
        <v>0</v>
      </c>
      <c r="L87" s="407">
        <f>K87/12</f>
        <v>0</v>
      </c>
      <c r="M87" s="408">
        <f>K87/52.1429</f>
        <v>0</v>
      </c>
    </row>
    <row r="88" spans="1:13" ht="38.25" x14ac:dyDescent="0.25">
      <c r="A88" s="867"/>
      <c r="B88" s="405" t="s">
        <v>707</v>
      </c>
      <c r="C88" s="878" t="s">
        <v>12</v>
      </c>
      <c r="D88" s="878"/>
      <c r="E88" s="641">
        <v>0</v>
      </c>
      <c r="F88" s="639">
        <v>0</v>
      </c>
      <c r="G88" s="406">
        <f>E88*F88</f>
        <v>0</v>
      </c>
      <c r="H88" s="641">
        <v>1</v>
      </c>
      <c r="I88" s="645">
        <v>0</v>
      </c>
      <c r="J88" s="406">
        <f>G88*I88</f>
        <v>0</v>
      </c>
      <c r="K88" s="407">
        <f t="shared" si="24"/>
        <v>0</v>
      </c>
      <c r="L88" s="407">
        <f>K88/12</f>
        <v>0</v>
      </c>
      <c r="M88" s="408">
        <f>K88/52.1429</f>
        <v>0</v>
      </c>
    </row>
    <row r="89" spans="1:13" x14ac:dyDescent="0.25">
      <c r="A89" s="867"/>
      <c r="B89" s="905" t="s">
        <v>710</v>
      </c>
      <c r="C89" s="906"/>
      <c r="D89" s="906"/>
      <c r="E89" s="906"/>
      <c r="F89" s="906"/>
      <c r="G89" s="906"/>
      <c r="H89" s="906"/>
      <c r="I89" s="906"/>
      <c r="J89" s="906"/>
      <c r="K89" s="906"/>
      <c r="L89" s="906"/>
      <c r="M89" s="907"/>
    </row>
    <row r="90" spans="1:13" ht="76.5" x14ac:dyDescent="0.25">
      <c r="A90" s="867"/>
      <c r="B90" s="405" t="s">
        <v>311</v>
      </c>
      <c r="C90" s="878" t="s">
        <v>12</v>
      </c>
      <c r="D90" s="878"/>
      <c r="E90" s="641">
        <f>'Plantel produtivo'!D10/65</f>
        <v>3.6923076923076925</v>
      </c>
      <c r="F90" s="639">
        <v>50000</v>
      </c>
      <c r="G90" s="406">
        <f t="shared" si="23"/>
        <v>184615.38461538462</v>
      </c>
      <c r="H90" s="641">
        <v>20</v>
      </c>
      <c r="I90" s="645">
        <v>0</v>
      </c>
      <c r="J90" s="406">
        <f t="shared" si="8"/>
        <v>0</v>
      </c>
      <c r="K90" s="407">
        <f t="shared" ref="K90:K100" si="25">(G90-J90)/H90</f>
        <v>9230.7692307692305</v>
      </c>
      <c r="L90" s="407">
        <f t="shared" si="11"/>
        <v>769.23076923076917</v>
      </c>
      <c r="M90" s="408">
        <f t="shared" si="9"/>
        <v>177.02830549833689</v>
      </c>
    </row>
    <row r="91" spans="1:13" ht="76.5" x14ac:dyDescent="0.25">
      <c r="A91" s="867"/>
      <c r="B91" s="405" t="s">
        <v>312</v>
      </c>
      <c r="C91" s="878" t="s">
        <v>12</v>
      </c>
      <c r="D91" s="878"/>
      <c r="E91" s="574">
        <f>'Plantel produtivo'!D10</f>
        <v>240</v>
      </c>
      <c r="F91" s="639">
        <v>79</v>
      </c>
      <c r="G91" s="406">
        <f t="shared" si="23"/>
        <v>18960</v>
      </c>
      <c r="H91" s="641">
        <v>1</v>
      </c>
      <c r="I91" s="645">
        <v>0</v>
      </c>
      <c r="J91" s="406">
        <f t="shared" si="8"/>
        <v>0</v>
      </c>
      <c r="K91" s="407">
        <f t="shared" si="25"/>
        <v>18960</v>
      </c>
      <c r="L91" s="407">
        <f t="shared" si="11"/>
        <v>1580</v>
      </c>
      <c r="M91" s="408">
        <f t="shared" si="9"/>
        <v>363.616139493584</v>
      </c>
    </row>
    <row r="92" spans="1:13" ht="38.25" x14ac:dyDescent="0.25">
      <c r="A92" s="867"/>
      <c r="B92" s="405" t="s">
        <v>445</v>
      </c>
      <c r="C92" s="878" t="s">
        <v>12</v>
      </c>
      <c r="D92" s="878"/>
      <c r="E92" s="574">
        <f>E91/10</f>
        <v>24</v>
      </c>
      <c r="F92" s="646">
        <f>F80</f>
        <v>14.74</v>
      </c>
      <c r="G92" s="406">
        <f t="shared" si="23"/>
        <v>353.76</v>
      </c>
      <c r="H92" s="641">
        <v>10</v>
      </c>
      <c r="I92" s="645">
        <v>0</v>
      </c>
      <c r="J92" s="406">
        <f t="shared" si="8"/>
        <v>0</v>
      </c>
      <c r="K92" s="407">
        <f t="shared" si="25"/>
        <v>35.375999999999998</v>
      </c>
      <c r="L92" s="407">
        <f t="shared" si="11"/>
        <v>2.948</v>
      </c>
      <c r="M92" s="408">
        <f t="shared" si="9"/>
        <v>0.67844327799182624</v>
      </c>
    </row>
    <row r="93" spans="1:13" ht="38.25" x14ac:dyDescent="0.25">
      <c r="A93" s="867"/>
      <c r="B93" s="405" t="s">
        <v>309</v>
      </c>
      <c r="C93" s="878" t="s">
        <v>12</v>
      </c>
      <c r="D93" s="878"/>
      <c r="E93" s="641">
        <v>4</v>
      </c>
      <c r="F93" s="646">
        <f>F81</f>
        <v>1687</v>
      </c>
      <c r="G93" s="406">
        <f t="shared" si="23"/>
        <v>6748</v>
      </c>
      <c r="H93" s="641">
        <v>20</v>
      </c>
      <c r="I93" s="645">
        <v>0</v>
      </c>
      <c r="J93" s="406">
        <f t="shared" si="8"/>
        <v>0</v>
      </c>
      <c r="K93" s="407">
        <f t="shared" si="25"/>
        <v>337.4</v>
      </c>
      <c r="L93" s="407">
        <f t="shared" si="11"/>
        <v>28.116666666666664</v>
      </c>
      <c r="M93" s="408">
        <f t="shared" si="9"/>
        <v>6.4706796131400441</v>
      </c>
    </row>
    <row r="94" spans="1:13" ht="38.25" x14ac:dyDescent="0.25">
      <c r="A94" s="867"/>
      <c r="B94" s="405" t="s">
        <v>310</v>
      </c>
      <c r="C94" s="878" t="s">
        <v>12</v>
      </c>
      <c r="D94" s="878"/>
      <c r="E94" s="641">
        <v>1</v>
      </c>
      <c r="F94" s="646">
        <f>F82</f>
        <v>2299.9899999999998</v>
      </c>
      <c r="G94" s="406">
        <f t="shared" si="23"/>
        <v>2299.9899999999998</v>
      </c>
      <c r="H94" s="641">
        <v>20</v>
      </c>
      <c r="I94" s="645">
        <v>0</v>
      </c>
      <c r="J94" s="406">
        <f t="shared" si="8"/>
        <v>0</v>
      </c>
      <c r="K94" s="407">
        <f t="shared" si="25"/>
        <v>114.99949999999998</v>
      </c>
      <c r="L94" s="407">
        <f t="shared" si="11"/>
        <v>9.5832916666666659</v>
      </c>
      <c r="M94" s="408">
        <f t="shared" si="9"/>
        <v>2.2054680503002326</v>
      </c>
    </row>
    <row r="95" spans="1:13" ht="38.25" x14ac:dyDescent="0.25">
      <c r="A95" s="867"/>
      <c r="B95" s="405" t="s">
        <v>305</v>
      </c>
      <c r="C95" s="878" t="s">
        <v>891</v>
      </c>
      <c r="D95" s="878"/>
      <c r="E95" s="574">
        <f>D10*E10</f>
        <v>1440</v>
      </c>
      <c r="F95" s="646">
        <f>F83</f>
        <v>10.199999999999999</v>
      </c>
      <c r="G95" s="406">
        <f t="shared" si="23"/>
        <v>14687.999999999998</v>
      </c>
      <c r="H95" s="641">
        <v>20</v>
      </c>
      <c r="I95" s="645">
        <v>0</v>
      </c>
      <c r="J95" s="406">
        <f t="shared" si="8"/>
        <v>0</v>
      </c>
      <c r="K95" s="407">
        <f t="shared" si="25"/>
        <v>734.39999999999986</v>
      </c>
      <c r="L95" s="407">
        <f t="shared" si="11"/>
        <v>61.199999999999989</v>
      </c>
      <c r="M95" s="408">
        <f t="shared" si="9"/>
        <v>14.084371985447682</v>
      </c>
    </row>
    <row r="96" spans="1:13" ht="38.25" x14ac:dyDescent="0.25">
      <c r="A96" s="867"/>
      <c r="B96" s="405" t="s">
        <v>306</v>
      </c>
      <c r="C96" s="878" t="s">
        <v>12</v>
      </c>
      <c r="D96" s="878"/>
      <c r="E96" s="641">
        <v>10</v>
      </c>
      <c r="F96" s="646">
        <f>F71</f>
        <v>4.24</v>
      </c>
      <c r="G96" s="406">
        <f t="shared" si="23"/>
        <v>42.400000000000006</v>
      </c>
      <c r="H96" s="641">
        <v>1</v>
      </c>
      <c r="I96" s="645">
        <v>0</v>
      </c>
      <c r="J96" s="406">
        <f t="shared" si="8"/>
        <v>0</v>
      </c>
      <c r="K96" s="407">
        <f t="shared" si="25"/>
        <v>42.400000000000006</v>
      </c>
      <c r="L96" s="407">
        <f t="shared" si="11"/>
        <v>3.5333333333333337</v>
      </c>
      <c r="M96" s="408">
        <f t="shared" si="9"/>
        <v>0.81315001658902764</v>
      </c>
    </row>
    <row r="97" spans="1:13" ht="38.25" x14ac:dyDescent="0.25">
      <c r="A97" s="867"/>
      <c r="B97" s="405" t="s">
        <v>1035</v>
      </c>
      <c r="C97" s="878" t="s">
        <v>12</v>
      </c>
      <c r="D97" s="878"/>
      <c r="E97" s="641">
        <v>1</v>
      </c>
      <c r="F97" s="646">
        <f>F85</f>
        <v>121.53</v>
      </c>
      <c r="G97" s="406">
        <f t="shared" si="23"/>
        <v>121.53</v>
      </c>
      <c r="H97" s="641">
        <v>5</v>
      </c>
      <c r="I97" s="645">
        <v>0</v>
      </c>
      <c r="J97" s="406">
        <f t="shared" si="8"/>
        <v>0</v>
      </c>
      <c r="K97" s="407">
        <f t="shared" si="25"/>
        <v>24.306000000000001</v>
      </c>
      <c r="L97" s="407">
        <f t="shared" si="11"/>
        <v>2.0255000000000001</v>
      </c>
      <c r="M97" s="408">
        <f t="shared" si="9"/>
        <v>0.46614208262294582</v>
      </c>
    </row>
    <row r="98" spans="1:13" ht="38.25" x14ac:dyDescent="0.25">
      <c r="A98" s="867"/>
      <c r="B98" s="405" t="s">
        <v>313</v>
      </c>
      <c r="C98" s="878" t="s">
        <v>12</v>
      </c>
      <c r="D98" s="878"/>
      <c r="E98" s="641">
        <v>2</v>
      </c>
      <c r="F98" s="646">
        <f>F86</f>
        <v>99.9</v>
      </c>
      <c r="G98" s="406">
        <f>E98*F98</f>
        <v>199.8</v>
      </c>
      <c r="H98" s="641">
        <v>1</v>
      </c>
      <c r="I98" s="645">
        <v>0</v>
      </c>
      <c r="J98" s="406">
        <f>G98*I98</f>
        <v>0</v>
      </c>
      <c r="K98" s="407">
        <f t="shared" si="25"/>
        <v>199.8</v>
      </c>
      <c r="L98" s="407">
        <f>K98/12</f>
        <v>16.650000000000002</v>
      </c>
      <c r="M98" s="408">
        <f>K98/52.1429</f>
        <v>3.8317776725115023</v>
      </c>
    </row>
    <row r="99" spans="1:13" ht="38.25" x14ac:dyDescent="0.25">
      <c r="A99" s="867"/>
      <c r="B99" s="405" t="s">
        <v>706</v>
      </c>
      <c r="C99" s="878" t="s">
        <v>12</v>
      </c>
      <c r="D99" s="878"/>
      <c r="E99" s="641">
        <v>0</v>
      </c>
      <c r="F99" s="639">
        <v>0</v>
      </c>
      <c r="G99" s="406">
        <f>E99*F99</f>
        <v>0</v>
      </c>
      <c r="H99" s="641">
        <v>1</v>
      </c>
      <c r="I99" s="645">
        <v>0</v>
      </c>
      <c r="J99" s="406">
        <f>G99*I99</f>
        <v>0</v>
      </c>
      <c r="K99" s="407">
        <f t="shared" si="25"/>
        <v>0</v>
      </c>
      <c r="L99" s="407">
        <f>K99/12</f>
        <v>0</v>
      </c>
      <c r="M99" s="408">
        <f>K99/52.1429</f>
        <v>0</v>
      </c>
    </row>
    <row r="100" spans="1:13" ht="39" thickBot="1" x14ac:dyDescent="0.3">
      <c r="A100" s="868"/>
      <c r="B100" s="405" t="s">
        <v>707</v>
      </c>
      <c r="C100" s="878" t="s">
        <v>12</v>
      </c>
      <c r="D100" s="878"/>
      <c r="E100" s="641">
        <v>0</v>
      </c>
      <c r="F100" s="639">
        <v>0</v>
      </c>
      <c r="G100" s="406">
        <f>E100*F100</f>
        <v>0</v>
      </c>
      <c r="H100" s="641">
        <v>1</v>
      </c>
      <c r="I100" s="645">
        <v>0</v>
      </c>
      <c r="J100" s="406">
        <f>G100*I100</f>
        <v>0</v>
      </c>
      <c r="K100" s="407">
        <f t="shared" si="25"/>
        <v>0</v>
      </c>
      <c r="L100" s="407">
        <f>K100/12</f>
        <v>0</v>
      </c>
      <c r="M100" s="408">
        <f>K100/52.1429</f>
        <v>0</v>
      </c>
    </row>
    <row r="101" spans="1:13" ht="38.25" thickBot="1" x14ac:dyDescent="0.3">
      <c r="A101" s="863" t="s">
        <v>104</v>
      </c>
      <c r="B101" s="891" t="s">
        <v>104</v>
      </c>
      <c r="C101" s="892"/>
      <c r="D101" s="892"/>
      <c r="E101" s="892"/>
      <c r="F101" s="892"/>
      <c r="G101" s="892"/>
      <c r="H101" s="892"/>
      <c r="I101" s="892"/>
      <c r="J101" s="892"/>
      <c r="K101" s="892"/>
      <c r="L101" s="892"/>
      <c r="M101" s="893"/>
    </row>
    <row r="102" spans="1:13" ht="38.25" x14ac:dyDescent="0.25">
      <c r="A102" s="864"/>
      <c r="B102" s="405" t="s">
        <v>1057</v>
      </c>
      <c r="C102" s="878" t="s">
        <v>12</v>
      </c>
      <c r="D102" s="878"/>
      <c r="E102" s="574">
        <f>'Plantel produtivo'!$I$12</f>
        <v>391.29443938012753</v>
      </c>
      <c r="F102" s="639">
        <v>3399.83</v>
      </c>
      <c r="G102" s="406">
        <f t="shared" si="23"/>
        <v>1330334.5738377389</v>
      </c>
      <c r="H102" s="641">
        <v>20</v>
      </c>
      <c r="I102" s="645">
        <v>0</v>
      </c>
      <c r="J102" s="406">
        <f t="shared" si="8"/>
        <v>0</v>
      </c>
      <c r="K102" s="407">
        <f t="shared" ref="K102:K121" si="26">(G102-J102)/H102</f>
        <v>66516.72869188695</v>
      </c>
      <c r="L102" s="407">
        <f t="shared" si="11"/>
        <v>5543.0607243239128</v>
      </c>
      <c r="M102" s="408">
        <f t="shared" si="9"/>
        <v>1275.66224149188</v>
      </c>
    </row>
    <row r="103" spans="1:13" ht="76.5" x14ac:dyDescent="0.25">
      <c r="A103" s="864"/>
      <c r="B103" s="405" t="s">
        <v>447</v>
      </c>
      <c r="C103" s="878" t="s">
        <v>12</v>
      </c>
      <c r="D103" s="878"/>
      <c r="E103" s="574">
        <v>5</v>
      </c>
      <c r="F103" s="639">
        <v>10872.67</v>
      </c>
      <c r="G103" s="406">
        <f t="shared" si="23"/>
        <v>54363.35</v>
      </c>
      <c r="H103" s="641">
        <v>20</v>
      </c>
      <c r="I103" s="645">
        <v>0</v>
      </c>
      <c r="J103" s="406">
        <f t="shared" si="8"/>
        <v>0</v>
      </c>
      <c r="K103" s="407">
        <f t="shared" si="26"/>
        <v>2718.1675</v>
      </c>
      <c r="L103" s="407">
        <f t="shared" si="11"/>
        <v>226.51395833333333</v>
      </c>
      <c r="M103" s="408">
        <f t="shared" si="9"/>
        <v>52.129196880112154</v>
      </c>
    </row>
    <row r="104" spans="1:13" ht="38.25" x14ac:dyDescent="0.25">
      <c r="A104" s="864"/>
      <c r="B104" s="405" t="s">
        <v>289</v>
      </c>
      <c r="C104" s="878" t="s">
        <v>12</v>
      </c>
      <c r="D104" s="878"/>
      <c r="E104" s="574">
        <f>$E$102</f>
        <v>391.29443938012753</v>
      </c>
      <c r="F104" s="646">
        <f>F92</f>
        <v>14.74</v>
      </c>
      <c r="G104" s="406">
        <f t="shared" si="23"/>
        <v>5767.6800364630799</v>
      </c>
      <c r="H104" s="641">
        <v>10</v>
      </c>
      <c r="I104" s="645">
        <v>0</v>
      </c>
      <c r="J104" s="406">
        <f t="shared" si="8"/>
        <v>0</v>
      </c>
      <c r="K104" s="407">
        <f t="shared" si="26"/>
        <v>576.76800364630799</v>
      </c>
      <c r="L104" s="407">
        <f t="shared" si="11"/>
        <v>48.064000303858997</v>
      </c>
      <c r="M104" s="408">
        <f t="shared" si="9"/>
        <v>11.06129508804282</v>
      </c>
    </row>
    <row r="105" spans="1:13" ht="38.25" x14ac:dyDescent="0.25">
      <c r="A105" s="864"/>
      <c r="B105" s="405" t="s">
        <v>314</v>
      </c>
      <c r="C105" s="878" t="s">
        <v>12</v>
      </c>
      <c r="D105" s="878"/>
      <c r="E105" s="574">
        <f>$E$102</f>
        <v>391.29443938012753</v>
      </c>
      <c r="F105" s="639">
        <v>0</v>
      </c>
      <c r="G105" s="406">
        <f t="shared" si="23"/>
        <v>0</v>
      </c>
      <c r="H105" s="641">
        <v>20</v>
      </c>
      <c r="I105" s="645">
        <v>0</v>
      </c>
      <c r="J105" s="406">
        <f t="shared" si="8"/>
        <v>0</v>
      </c>
      <c r="K105" s="407">
        <f t="shared" si="26"/>
        <v>0</v>
      </c>
      <c r="L105" s="407">
        <f t="shared" si="11"/>
        <v>0</v>
      </c>
      <c r="M105" s="408">
        <f t="shared" si="9"/>
        <v>0</v>
      </c>
    </row>
    <row r="106" spans="1:13" ht="76.5" x14ac:dyDescent="0.25">
      <c r="A106" s="864"/>
      <c r="B106" s="405" t="s">
        <v>315</v>
      </c>
      <c r="C106" s="878" t="s">
        <v>12</v>
      </c>
      <c r="D106" s="878"/>
      <c r="E106" s="574">
        <f>$E$105</f>
        <v>391.29443938012753</v>
      </c>
      <c r="F106" s="639">
        <v>35.14</v>
      </c>
      <c r="G106" s="406">
        <f t="shared" si="23"/>
        <v>13750.086599817681</v>
      </c>
      <c r="H106" s="641">
        <v>1</v>
      </c>
      <c r="I106" s="645">
        <v>0</v>
      </c>
      <c r="J106" s="406">
        <f t="shared" si="8"/>
        <v>0</v>
      </c>
      <c r="K106" s="407">
        <f t="shared" si="26"/>
        <v>13750.086599817681</v>
      </c>
      <c r="L106" s="407">
        <f t="shared" si="11"/>
        <v>1145.8405499848068</v>
      </c>
      <c r="M106" s="408">
        <f t="shared" si="9"/>
        <v>263.70007421562059</v>
      </c>
    </row>
    <row r="107" spans="1:13" ht="38.25" x14ac:dyDescent="0.25">
      <c r="A107" s="864"/>
      <c r="B107" s="405" t="s">
        <v>316</v>
      </c>
      <c r="C107" s="878" t="s">
        <v>12</v>
      </c>
      <c r="D107" s="878"/>
      <c r="E107" s="574">
        <f>$E$106</f>
        <v>391.29443938012753</v>
      </c>
      <c r="F107" s="639">
        <v>82.4</v>
      </c>
      <c r="G107" s="406">
        <f t="shared" si="23"/>
        <v>32242.661804922511</v>
      </c>
      <c r="H107" s="641">
        <v>20</v>
      </c>
      <c r="I107" s="645">
        <v>0</v>
      </c>
      <c r="J107" s="406">
        <f t="shared" si="8"/>
        <v>0</v>
      </c>
      <c r="K107" s="407">
        <f t="shared" si="26"/>
        <v>1612.1330902461254</v>
      </c>
      <c r="L107" s="407">
        <f t="shared" si="11"/>
        <v>134.34442418717711</v>
      </c>
      <c r="M107" s="408">
        <f t="shared" si="9"/>
        <v>30.917595497107477</v>
      </c>
    </row>
    <row r="108" spans="1:13" ht="38.25" x14ac:dyDescent="0.25">
      <c r="A108" s="864"/>
      <c r="B108" s="405" t="s">
        <v>317</v>
      </c>
      <c r="C108" s="878" t="s">
        <v>12</v>
      </c>
      <c r="D108" s="878"/>
      <c r="E108" s="641">
        <v>10</v>
      </c>
      <c r="F108" s="639">
        <v>266.14</v>
      </c>
      <c r="G108" s="406">
        <f t="shared" si="23"/>
        <v>2661.3999999999996</v>
      </c>
      <c r="H108" s="641">
        <v>20</v>
      </c>
      <c r="I108" s="645">
        <v>0</v>
      </c>
      <c r="J108" s="406">
        <f t="shared" si="8"/>
        <v>0</v>
      </c>
      <c r="K108" s="407">
        <f t="shared" si="26"/>
        <v>133.07</v>
      </c>
      <c r="L108" s="407">
        <f t="shared" si="11"/>
        <v>11.089166666666666</v>
      </c>
      <c r="M108" s="408">
        <f t="shared" si="9"/>
        <v>2.5520252997052331</v>
      </c>
    </row>
    <row r="109" spans="1:13" ht="38.25" x14ac:dyDescent="0.25">
      <c r="A109" s="864"/>
      <c r="B109" s="405" t="s">
        <v>318</v>
      </c>
      <c r="C109" s="878" t="s">
        <v>12</v>
      </c>
      <c r="D109" s="878"/>
      <c r="E109" s="641">
        <v>5</v>
      </c>
      <c r="F109" s="639">
        <v>637.70000000000005</v>
      </c>
      <c r="G109" s="406">
        <f t="shared" si="23"/>
        <v>3188.5</v>
      </c>
      <c r="H109" s="641">
        <v>20</v>
      </c>
      <c r="I109" s="645">
        <v>0</v>
      </c>
      <c r="J109" s="406">
        <f t="shared" si="8"/>
        <v>0</v>
      </c>
      <c r="K109" s="407">
        <f t="shared" si="26"/>
        <v>159.42500000000001</v>
      </c>
      <c r="L109" s="407">
        <f t="shared" si="11"/>
        <v>13.285416666666668</v>
      </c>
      <c r="M109" s="408">
        <f t="shared" si="9"/>
        <v>3.0574632404411726</v>
      </c>
    </row>
    <row r="110" spans="1:13" ht="38.25" x14ac:dyDescent="0.25">
      <c r="A110" s="864"/>
      <c r="B110" s="405" t="s">
        <v>319</v>
      </c>
      <c r="C110" s="878" t="s">
        <v>12</v>
      </c>
      <c r="D110" s="878"/>
      <c r="E110" s="641">
        <v>5</v>
      </c>
      <c r="F110" s="639">
        <v>170.8</v>
      </c>
      <c r="G110" s="406">
        <f t="shared" si="23"/>
        <v>854</v>
      </c>
      <c r="H110" s="641">
        <v>20</v>
      </c>
      <c r="I110" s="645">
        <v>0</v>
      </c>
      <c r="J110" s="406">
        <f t="shared" si="8"/>
        <v>0</v>
      </c>
      <c r="K110" s="407">
        <f t="shared" si="26"/>
        <v>42.7</v>
      </c>
      <c r="L110" s="407">
        <f t="shared" si="11"/>
        <v>3.5583333333333336</v>
      </c>
      <c r="M110" s="408">
        <f t="shared" si="9"/>
        <v>0.81890343651772346</v>
      </c>
    </row>
    <row r="111" spans="1:13" ht="38.25" x14ac:dyDescent="0.25">
      <c r="A111" s="864"/>
      <c r="B111" s="405" t="s">
        <v>288</v>
      </c>
      <c r="C111" s="878" t="s">
        <v>12</v>
      </c>
      <c r="D111" s="878"/>
      <c r="E111" s="641">
        <v>5</v>
      </c>
      <c r="F111" s="646">
        <f>F68</f>
        <v>206.3</v>
      </c>
      <c r="G111" s="406">
        <f t="shared" si="23"/>
        <v>1031.5</v>
      </c>
      <c r="H111" s="641">
        <v>20</v>
      </c>
      <c r="I111" s="645">
        <v>0</v>
      </c>
      <c r="J111" s="406">
        <f t="shared" si="8"/>
        <v>0</v>
      </c>
      <c r="K111" s="407">
        <f t="shared" si="26"/>
        <v>51.575000000000003</v>
      </c>
      <c r="L111" s="407">
        <f t="shared" si="11"/>
        <v>4.2979166666666666</v>
      </c>
      <c r="M111" s="408">
        <f t="shared" si="9"/>
        <v>0.98910877607497871</v>
      </c>
    </row>
    <row r="112" spans="1:13" ht="38.25" x14ac:dyDescent="0.25">
      <c r="A112" s="864"/>
      <c r="B112" s="405" t="s">
        <v>287</v>
      </c>
      <c r="C112" s="878" t="s">
        <v>12</v>
      </c>
      <c r="D112" s="878"/>
      <c r="E112" s="641">
        <v>10</v>
      </c>
      <c r="F112" s="646">
        <f>F69</f>
        <v>30.2</v>
      </c>
      <c r="G112" s="406">
        <f t="shared" si="23"/>
        <v>302</v>
      </c>
      <c r="H112" s="641">
        <v>20</v>
      </c>
      <c r="I112" s="645">
        <v>0</v>
      </c>
      <c r="J112" s="406">
        <f t="shared" si="8"/>
        <v>0</v>
      </c>
      <c r="K112" s="407">
        <f t="shared" si="26"/>
        <v>15.1</v>
      </c>
      <c r="L112" s="407">
        <f t="shared" si="11"/>
        <v>1.2583333333333333</v>
      </c>
      <c r="M112" s="408">
        <f t="shared" si="9"/>
        <v>0.28958880307769613</v>
      </c>
    </row>
    <row r="113" spans="1:13" ht="38.25" x14ac:dyDescent="0.25">
      <c r="A113" s="864"/>
      <c r="B113" s="405" t="s">
        <v>320</v>
      </c>
      <c r="C113" s="878" t="s">
        <v>12</v>
      </c>
      <c r="D113" s="878"/>
      <c r="E113" s="641">
        <v>5</v>
      </c>
      <c r="F113" s="646">
        <v>11940</v>
      </c>
      <c r="G113" s="406">
        <v>15000</v>
      </c>
      <c r="H113" s="641">
        <v>20</v>
      </c>
      <c r="I113" s="645">
        <v>0</v>
      </c>
      <c r="J113" s="406">
        <f t="shared" si="8"/>
        <v>0</v>
      </c>
      <c r="K113" s="407">
        <f t="shared" si="26"/>
        <v>750</v>
      </c>
      <c r="L113" s="407">
        <f t="shared" si="11"/>
        <v>62.5</v>
      </c>
      <c r="M113" s="408">
        <f t="shared" si="9"/>
        <v>14.383549821739873</v>
      </c>
    </row>
    <row r="114" spans="1:13" ht="38.25" x14ac:dyDescent="0.25">
      <c r="A114" s="864"/>
      <c r="B114" s="405" t="s">
        <v>310</v>
      </c>
      <c r="C114" s="878" t="s">
        <v>12</v>
      </c>
      <c r="D114" s="878"/>
      <c r="E114" s="641">
        <v>2</v>
      </c>
      <c r="F114" s="646">
        <f>F94</f>
        <v>2299.9899999999998</v>
      </c>
      <c r="G114" s="406">
        <f t="shared" si="23"/>
        <v>4599.9799999999996</v>
      </c>
      <c r="H114" s="641">
        <v>20</v>
      </c>
      <c r="I114" s="645">
        <v>0</v>
      </c>
      <c r="J114" s="406">
        <f t="shared" si="8"/>
        <v>0</v>
      </c>
      <c r="K114" s="407">
        <f t="shared" si="26"/>
        <v>229.99899999999997</v>
      </c>
      <c r="L114" s="407">
        <f t="shared" si="11"/>
        <v>19.166583333333332</v>
      </c>
      <c r="M114" s="408">
        <f t="shared" si="9"/>
        <v>4.4109361006004653</v>
      </c>
    </row>
    <row r="115" spans="1:13" ht="38.25" x14ac:dyDescent="0.25">
      <c r="A115" s="864"/>
      <c r="B115" s="405" t="s">
        <v>309</v>
      </c>
      <c r="C115" s="878" t="s">
        <v>12</v>
      </c>
      <c r="D115" s="878"/>
      <c r="E115" s="641">
        <v>20</v>
      </c>
      <c r="F115" s="646">
        <f>F93</f>
        <v>1687</v>
      </c>
      <c r="G115" s="406">
        <f t="shared" si="23"/>
        <v>33740</v>
      </c>
      <c r="H115" s="641">
        <v>20</v>
      </c>
      <c r="I115" s="645">
        <v>0</v>
      </c>
      <c r="J115" s="406">
        <f t="shared" si="8"/>
        <v>0</v>
      </c>
      <c r="K115" s="407">
        <f t="shared" si="26"/>
        <v>1687</v>
      </c>
      <c r="L115" s="407">
        <f t="shared" si="11"/>
        <v>140.58333333333334</v>
      </c>
      <c r="M115" s="408">
        <f t="shared" si="9"/>
        <v>32.353398065700219</v>
      </c>
    </row>
    <row r="116" spans="1:13" ht="38.25" x14ac:dyDescent="0.25">
      <c r="A116" s="864"/>
      <c r="B116" s="405" t="s">
        <v>305</v>
      </c>
      <c r="C116" s="878" t="s">
        <v>891</v>
      </c>
      <c r="D116" s="878"/>
      <c r="E116" s="574">
        <f>D11*E11</f>
        <v>1686.1665519614587</v>
      </c>
      <c r="F116" s="646">
        <f>F95</f>
        <v>10.199999999999999</v>
      </c>
      <c r="G116" s="406">
        <f t="shared" si="23"/>
        <v>17198.898830006878</v>
      </c>
      <c r="H116" s="641">
        <v>20</v>
      </c>
      <c r="I116" s="645">
        <v>0</v>
      </c>
      <c r="J116" s="406">
        <f t="shared" si="8"/>
        <v>0</v>
      </c>
      <c r="K116" s="407">
        <f t="shared" si="26"/>
        <v>859.94494150034393</v>
      </c>
      <c r="L116" s="407">
        <f t="shared" si="11"/>
        <v>71.662078458361989</v>
      </c>
      <c r="M116" s="408">
        <f t="shared" si="9"/>
        <v>16.492081213364504</v>
      </c>
    </row>
    <row r="117" spans="1:13" ht="38.25" x14ac:dyDescent="0.25">
      <c r="A117" s="864"/>
      <c r="B117" s="405" t="s">
        <v>306</v>
      </c>
      <c r="C117" s="878" t="s">
        <v>12</v>
      </c>
      <c r="D117" s="878"/>
      <c r="E117" s="641">
        <v>50</v>
      </c>
      <c r="F117" s="646">
        <f>F96</f>
        <v>4.24</v>
      </c>
      <c r="G117" s="406">
        <f t="shared" si="23"/>
        <v>212</v>
      </c>
      <c r="H117" s="641">
        <v>1</v>
      </c>
      <c r="I117" s="645">
        <v>0</v>
      </c>
      <c r="J117" s="406">
        <f t="shared" si="8"/>
        <v>0</v>
      </c>
      <c r="K117" s="407">
        <f t="shared" si="26"/>
        <v>212</v>
      </c>
      <c r="L117" s="407">
        <f t="shared" si="11"/>
        <v>17.666666666666668</v>
      </c>
      <c r="M117" s="408">
        <f t="shared" si="9"/>
        <v>4.0657500829451374</v>
      </c>
    </row>
    <row r="118" spans="1:13" ht="38.25" x14ac:dyDescent="0.25">
      <c r="A118" s="864"/>
      <c r="B118" s="405" t="s">
        <v>1035</v>
      </c>
      <c r="C118" s="878" t="s">
        <v>12</v>
      </c>
      <c r="D118" s="878"/>
      <c r="E118" s="641">
        <v>5</v>
      </c>
      <c r="F118" s="646">
        <f>F97</f>
        <v>121.53</v>
      </c>
      <c r="G118" s="406">
        <f t="shared" si="23"/>
        <v>607.65</v>
      </c>
      <c r="H118" s="641">
        <v>5</v>
      </c>
      <c r="I118" s="645">
        <v>0</v>
      </c>
      <c r="J118" s="406">
        <f t="shared" si="8"/>
        <v>0</v>
      </c>
      <c r="K118" s="407">
        <f t="shared" si="26"/>
        <v>121.53</v>
      </c>
      <c r="L118" s="407">
        <f t="shared" si="11"/>
        <v>10.1275</v>
      </c>
      <c r="M118" s="408">
        <f t="shared" si="9"/>
        <v>2.3307104131147289</v>
      </c>
    </row>
    <row r="119" spans="1:13" ht="38.25" x14ac:dyDescent="0.25">
      <c r="A119" s="864"/>
      <c r="B119" s="405" t="s">
        <v>313</v>
      </c>
      <c r="C119" s="878" t="s">
        <v>12</v>
      </c>
      <c r="D119" s="878"/>
      <c r="E119" s="641">
        <v>5</v>
      </c>
      <c r="F119" s="646">
        <f>F98</f>
        <v>99.9</v>
      </c>
      <c r="G119" s="406">
        <f>E119*F119</f>
        <v>499.5</v>
      </c>
      <c r="H119" s="641">
        <v>1</v>
      </c>
      <c r="I119" s="645">
        <v>0</v>
      </c>
      <c r="J119" s="406">
        <f>G119*I119</f>
        <v>0</v>
      </c>
      <c r="K119" s="407">
        <f t="shared" si="26"/>
        <v>499.5</v>
      </c>
      <c r="L119" s="407">
        <f>K119/12</f>
        <v>41.625</v>
      </c>
      <c r="M119" s="408">
        <f>K119/52.1429</f>
        <v>9.5794441812787561</v>
      </c>
    </row>
    <row r="120" spans="1:13" ht="38.25" x14ac:dyDescent="0.25">
      <c r="A120" s="864"/>
      <c r="B120" s="405" t="s">
        <v>706</v>
      </c>
      <c r="C120" s="878" t="s">
        <v>12</v>
      </c>
      <c r="D120" s="878"/>
      <c r="E120" s="641">
        <v>0</v>
      </c>
      <c r="F120" s="639">
        <v>0</v>
      </c>
      <c r="G120" s="406">
        <f>E120*F120</f>
        <v>0</v>
      </c>
      <c r="H120" s="641">
        <v>1</v>
      </c>
      <c r="I120" s="645">
        <v>0</v>
      </c>
      <c r="J120" s="406">
        <f>G120*I120</f>
        <v>0</v>
      </c>
      <c r="K120" s="407">
        <f t="shared" si="26"/>
        <v>0</v>
      </c>
      <c r="L120" s="407">
        <f>K120/12</f>
        <v>0</v>
      </c>
      <c r="M120" s="408">
        <f>K120/52.1429</f>
        <v>0</v>
      </c>
    </row>
    <row r="121" spans="1:13" ht="39" thickBot="1" x14ac:dyDescent="0.3">
      <c r="A121" s="865"/>
      <c r="B121" s="405" t="s">
        <v>707</v>
      </c>
      <c r="C121" s="878" t="s">
        <v>12</v>
      </c>
      <c r="D121" s="878"/>
      <c r="E121" s="641">
        <v>0</v>
      </c>
      <c r="F121" s="639">
        <v>0</v>
      </c>
      <c r="G121" s="406">
        <f>E121*F121</f>
        <v>0</v>
      </c>
      <c r="H121" s="641">
        <v>1</v>
      </c>
      <c r="I121" s="645">
        <v>0</v>
      </c>
      <c r="J121" s="406">
        <f>G121*I121</f>
        <v>0</v>
      </c>
      <c r="K121" s="407">
        <f t="shared" si="26"/>
        <v>0</v>
      </c>
      <c r="L121" s="407">
        <f>K121/12</f>
        <v>0</v>
      </c>
      <c r="M121" s="408">
        <f>K121/52.1429</f>
        <v>0</v>
      </c>
    </row>
    <row r="122" spans="1:13" ht="38.25" thickBot="1" x14ac:dyDescent="0.3">
      <c r="A122" s="860" t="s">
        <v>105</v>
      </c>
      <c r="B122" s="894" t="s">
        <v>105</v>
      </c>
      <c r="C122" s="895"/>
      <c r="D122" s="895"/>
      <c r="E122" s="895"/>
      <c r="F122" s="895"/>
      <c r="G122" s="895"/>
      <c r="H122" s="895"/>
      <c r="I122" s="895"/>
      <c r="J122" s="895"/>
      <c r="K122" s="895"/>
      <c r="L122" s="895"/>
      <c r="M122" s="896"/>
    </row>
    <row r="123" spans="1:13" ht="38.25" x14ac:dyDescent="0.25">
      <c r="A123" s="861"/>
      <c r="B123" s="405" t="s">
        <v>321</v>
      </c>
      <c r="C123" s="878" t="s">
        <v>891</v>
      </c>
      <c r="D123" s="878"/>
      <c r="E123" s="574">
        <f>(90%*(D12*E12))</f>
        <v>2301.8805041020955</v>
      </c>
      <c r="F123" s="639">
        <v>189.89</v>
      </c>
      <c r="G123" s="406">
        <f t="shared" si="23"/>
        <v>437104.0889239469</v>
      </c>
      <c r="H123" s="641">
        <v>20</v>
      </c>
      <c r="I123" s="645">
        <v>0</v>
      </c>
      <c r="J123" s="406">
        <f t="shared" si="8"/>
        <v>0</v>
      </c>
      <c r="K123" s="407">
        <f t="shared" ref="K123:K132" si="27">(G123-J123)/H123</f>
        <v>21855.204446197346</v>
      </c>
      <c r="L123" s="407">
        <f t="shared" si="11"/>
        <v>1821.2670371831121</v>
      </c>
      <c r="M123" s="408">
        <f t="shared" si="9"/>
        <v>419.14056268825374</v>
      </c>
    </row>
    <row r="124" spans="1:13" ht="38.25" x14ac:dyDescent="0.25">
      <c r="A124" s="861"/>
      <c r="B124" s="405" t="s">
        <v>881</v>
      </c>
      <c r="C124" s="878" t="s">
        <v>12</v>
      </c>
      <c r="D124" s="878"/>
      <c r="E124" s="641">
        <v>7</v>
      </c>
      <c r="F124" s="639">
        <v>10872.67</v>
      </c>
      <c r="G124" s="406">
        <f t="shared" si="23"/>
        <v>76108.69</v>
      </c>
      <c r="H124" s="641">
        <v>20</v>
      </c>
      <c r="I124" s="645">
        <v>0</v>
      </c>
      <c r="J124" s="406">
        <f t="shared" ref="J124:J176" si="28">G124*I124</f>
        <v>0</v>
      </c>
      <c r="K124" s="407">
        <f t="shared" si="27"/>
        <v>3805.4345000000003</v>
      </c>
      <c r="L124" s="407">
        <f t="shared" si="11"/>
        <v>317.11954166666669</v>
      </c>
      <c r="M124" s="408">
        <f t="shared" si="9"/>
        <v>72.980875632157023</v>
      </c>
    </row>
    <row r="125" spans="1:13" ht="38.25" x14ac:dyDescent="0.25">
      <c r="A125" s="861"/>
      <c r="B125" s="405" t="s">
        <v>289</v>
      </c>
      <c r="C125" s="878" t="s">
        <v>12</v>
      </c>
      <c r="D125" s="878"/>
      <c r="E125" s="641">
        <f>'Plantel produtivo'!$I$31*'Plantel produtivo'!$I$39/10</f>
        <v>1416.7712853236094</v>
      </c>
      <c r="F125" s="639">
        <v>14.74</v>
      </c>
      <c r="G125" s="406">
        <f t="shared" si="23"/>
        <v>20883.208745670003</v>
      </c>
      <c r="H125" s="641">
        <v>10</v>
      </c>
      <c r="I125" s="645">
        <v>0</v>
      </c>
      <c r="J125" s="406">
        <f t="shared" si="28"/>
        <v>0</v>
      </c>
      <c r="K125" s="407">
        <f t="shared" si="27"/>
        <v>2088.3208745670004</v>
      </c>
      <c r="L125" s="407">
        <f t="shared" ref="L125:L176" si="29">K125/12</f>
        <v>174.02673954725003</v>
      </c>
      <c r="M125" s="408">
        <f t="shared" ref="M125:M176" si="30">K125/52.1429</f>
        <v>40.049956457485109</v>
      </c>
    </row>
    <row r="126" spans="1:13" ht="76.5" x14ac:dyDescent="0.25">
      <c r="A126" s="861"/>
      <c r="B126" s="405" t="s">
        <v>315</v>
      </c>
      <c r="C126" s="878" t="s">
        <v>12</v>
      </c>
      <c r="D126" s="878"/>
      <c r="E126" s="641">
        <f>E124*3</f>
        <v>21</v>
      </c>
      <c r="F126" s="646">
        <f>F106</f>
        <v>35.14</v>
      </c>
      <c r="G126" s="406">
        <f t="shared" si="23"/>
        <v>737.94</v>
      </c>
      <c r="H126" s="641">
        <v>1</v>
      </c>
      <c r="I126" s="645">
        <v>0</v>
      </c>
      <c r="J126" s="406">
        <f t="shared" si="28"/>
        <v>0</v>
      </c>
      <c r="K126" s="407">
        <f t="shared" si="27"/>
        <v>737.94</v>
      </c>
      <c r="L126" s="407">
        <f t="shared" si="29"/>
        <v>61.495000000000005</v>
      </c>
      <c r="M126" s="408">
        <f t="shared" si="30"/>
        <v>14.152262340606297</v>
      </c>
    </row>
    <row r="127" spans="1:13" ht="38.25" x14ac:dyDescent="0.25">
      <c r="A127" s="861"/>
      <c r="B127" s="405" t="s">
        <v>305</v>
      </c>
      <c r="C127" s="878" t="s">
        <v>891</v>
      </c>
      <c r="D127" s="878"/>
      <c r="E127" s="574">
        <f>D12*E12</f>
        <v>2557.645004557884</v>
      </c>
      <c r="F127" s="646">
        <f>F116</f>
        <v>10.199999999999999</v>
      </c>
      <c r="G127" s="406">
        <f t="shared" si="23"/>
        <v>26087.979046490414</v>
      </c>
      <c r="H127" s="641">
        <v>20</v>
      </c>
      <c r="I127" s="645">
        <v>0</v>
      </c>
      <c r="J127" s="406">
        <f t="shared" si="28"/>
        <v>0</v>
      </c>
      <c r="K127" s="407">
        <f t="shared" si="27"/>
        <v>1304.3989523245207</v>
      </c>
      <c r="L127" s="407">
        <f t="shared" si="29"/>
        <v>108.69991269371006</v>
      </c>
      <c r="M127" s="408">
        <f t="shared" si="30"/>
        <v>25.01584975758005</v>
      </c>
    </row>
    <row r="128" spans="1:13" ht="38.25" x14ac:dyDescent="0.25">
      <c r="A128" s="861"/>
      <c r="B128" s="405" t="s">
        <v>306</v>
      </c>
      <c r="C128" s="878" t="s">
        <v>12</v>
      </c>
      <c r="D128" s="878"/>
      <c r="E128" s="641">
        <v>70</v>
      </c>
      <c r="F128" s="646">
        <f>F117</f>
        <v>4.24</v>
      </c>
      <c r="G128" s="406">
        <f t="shared" si="23"/>
        <v>296.8</v>
      </c>
      <c r="H128" s="641">
        <v>1</v>
      </c>
      <c r="I128" s="645">
        <v>0</v>
      </c>
      <c r="J128" s="406">
        <f t="shared" si="28"/>
        <v>0</v>
      </c>
      <c r="K128" s="407">
        <f t="shared" si="27"/>
        <v>296.8</v>
      </c>
      <c r="L128" s="407">
        <f t="shared" si="29"/>
        <v>24.733333333333334</v>
      </c>
      <c r="M128" s="408">
        <f t="shared" si="30"/>
        <v>5.6920501161231929</v>
      </c>
    </row>
    <row r="129" spans="1:13" ht="38.25" x14ac:dyDescent="0.25">
      <c r="A129" s="861"/>
      <c r="B129" s="405" t="s">
        <v>1035</v>
      </c>
      <c r="C129" s="878" t="s">
        <v>12</v>
      </c>
      <c r="D129" s="878"/>
      <c r="E129" s="641">
        <v>7</v>
      </c>
      <c r="F129" s="646">
        <f>F118</f>
        <v>121.53</v>
      </c>
      <c r="G129" s="406">
        <f t="shared" si="23"/>
        <v>850.71</v>
      </c>
      <c r="H129" s="641">
        <v>5</v>
      </c>
      <c r="I129" s="645">
        <v>0</v>
      </c>
      <c r="J129" s="406">
        <f t="shared" si="28"/>
        <v>0</v>
      </c>
      <c r="K129" s="407">
        <f t="shared" si="27"/>
        <v>170.142</v>
      </c>
      <c r="L129" s="407">
        <f t="shared" si="29"/>
        <v>14.1785</v>
      </c>
      <c r="M129" s="408">
        <f t="shared" si="30"/>
        <v>3.2629945783606207</v>
      </c>
    </row>
    <row r="130" spans="1:13" ht="38.25" x14ac:dyDescent="0.25">
      <c r="A130" s="861"/>
      <c r="B130" s="405" t="s">
        <v>313</v>
      </c>
      <c r="C130" s="878" t="s">
        <v>12</v>
      </c>
      <c r="D130" s="878"/>
      <c r="E130" s="641">
        <v>7</v>
      </c>
      <c r="F130" s="646">
        <f>F119</f>
        <v>99.9</v>
      </c>
      <c r="G130" s="406">
        <f>E130*F130</f>
        <v>699.30000000000007</v>
      </c>
      <c r="H130" s="641">
        <v>1</v>
      </c>
      <c r="I130" s="645">
        <v>0</v>
      </c>
      <c r="J130" s="406">
        <f>G130*I130</f>
        <v>0</v>
      </c>
      <c r="K130" s="407">
        <f t="shared" si="27"/>
        <v>699.30000000000007</v>
      </c>
      <c r="L130" s="407">
        <f>K130/12</f>
        <v>58.275000000000006</v>
      </c>
      <c r="M130" s="408">
        <f>K130/52.1429</f>
        <v>13.411221853790259</v>
      </c>
    </row>
    <row r="131" spans="1:13" ht="38.25" x14ac:dyDescent="0.25">
      <c r="A131" s="861"/>
      <c r="B131" s="405" t="s">
        <v>706</v>
      </c>
      <c r="C131" s="878" t="s">
        <v>12</v>
      </c>
      <c r="D131" s="878"/>
      <c r="E131" s="641">
        <v>0</v>
      </c>
      <c r="F131" s="639">
        <v>0</v>
      </c>
      <c r="G131" s="406">
        <f>E131*F131</f>
        <v>0</v>
      </c>
      <c r="H131" s="641">
        <v>1</v>
      </c>
      <c r="I131" s="645">
        <v>0</v>
      </c>
      <c r="J131" s="406">
        <f>G131*I131</f>
        <v>0</v>
      </c>
      <c r="K131" s="407">
        <f t="shared" si="27"/>
        <v>0</v>
      </c>
      <c r="L131" s="407">
        <f>K131/12</f>
        <v>0</v>
      </c>
      <c r="M131" s="408">
        <f>K131/52.1429</f>
        <v>0</v>
      </c>
    </row>
    <row r="132" spans="1:13" ht="39" thickBot="1" x14ac:dyDescent="0.3">
      <c r="A132" s="862"/>
      <c r="B132" s="405" t="s">
        <v>707</v>
      </c>
      <c r="C132" s="878" t="s">
        <v>12</v>
      </c>
      <c r="D132" s="878"/>
      <c r="E132" s="641">
        <v>0</v>
      </c>
      <c r="F132" s="639">
        <v>0</v>
      </c>
      <c r="G132" s="406">
        <f>E132*F132</f>
        <v>0</v>
      </c>
      <c r="H132" s="641">
        <v>1</v>
      </c>
      <c r="I132" s="645">
        <v>0</v>
      </c>
      <c r="J132" s="406">
        <f>G132*I132</f>
        <v>0</v>
      </c>
      <c r="K132" s="407">
        <f t="shared" si="27"/>
        <v>0</v>
      </c>
      <c r="L132" s="407">
        <f>K132/12</f>
        <v>0</v>
      </c>
      <c r="M132" s="408">
        <f>K132/52.1429</f>
        <v>0</v>
      </c>
    </row>
    <row r="133" spans="1:13" ht="38.25" thickBot="1" x14ac:dyDescent="0.3">
      <c r="A133" s="857" t="s">
        <v>909</v>
      </c>
      <c r="B133" s="897" t="s">
        <v>106</v>
      </c>
      <c r="C133" s="898"/>
      <c r="D133" s="898"/>
      <c r="E133" s="898"/>
      <c r="F133" s="898"/>
      <c r="G133" s="898"/>
      <c r="H133" s="898"/>
      <c r="I133" s="898"/>
      <c r="J133" s="898"/>
      <c r="K133" s="898"/>
      <c r="L133" s="898"/>
      <c r="M133" s="899"/>
    </row>
    <row r="134" spans="1:13" ht="38.25" x14ac:dyDescent="0.25">
      <c r="A134" s="858"/>
      <c r="B134" s="405" t="s">
        <v>322</v>
      </c>
      <c r="C134" s="878" t="s">
        <v>12</v>
      </c>
      <c r="D134" s="878"/>
      <c r="E134" s="641">
        <v>14</v>
      </c>
      <c r="F134" s="639">
        <v>10872.67</v>
      </c>
      <c r="G134" s="406">
        <f t="shared" si="23"/>
        <v>152217.38</v>
      </c>
      <c r="H134" s="641">
        <v>20</v>
      </c>
      <c r="I134" s="645">
        <v>0</v>
      </c>
      <c r="J134" s="406">
        <f t="shared" si="28"/>
        <v>0</v>
      </c>
      <c r="K134" s="407">
        <f t="shared" ref="K134:K142" si="31">(G134-J134)/H134</f>
        <v>7610.8690000000006</v>
      </c>
      <c r="L134" s="407">
        <f t="shared" si="29"/>
        <v>634.23908333333338</v>
      </c>
      <c r="M134" s="408">
        <f t="shared" si="30"/>
        <v>145.96175126431405</v>
      </c>
    </row>
    <row r="135" spans="1:13" ht="38.25" x14ac:dyDescent="0.25">
      <c r="A135" s="858"/>
      <c r="B135" s="405" t="s">
        <v>289</v>
      </c>
      <c r="C135" s="878" t="s">
        <v>12</v>
      </c>
      <c r="D135" s="878"/>
      <c r="E135" s="641">
        <f>'Plantel produtivo'!$I$41/10</f>
        <v>1416.7712853236094</v>
      </c>
      <c r="F135" s="646">
        <f>F80</f>
        <v>14.74</v>
      </c>
      <c r="G135" s="406">
        <f t="shared" si="23"/>
        <v>20883.208745670003</v>
      </c>
      <c r="H135" s="641">
        <v>10</v>
      </c>
      <c r="I135" s="645">
        <v>0</v>
      </c>
      <c r="J135" s="406">
        <f t="shared" si="28"/>
        <v>0</v>
      </c>
      <c r="K135" s="407">
        <f t="shared" si="31"/>
        <v>2088.3208745670004</v>
      </c>
      <c r="L135" s="407">
        <f t="shared" si="29"/>
        <v>174.02673954725003</v>
      </c>
      <c r="M135" s="408">
        <f t="shared" si="30"/>
        <v>40.049956457485109</v>
      </c>
    </row>
    <row r="136" spans="1:13" ht="38.25" x14ac:dyDescent="0.25">
      <c r="A136" s="858"/>
      <c r="B136" s="405" t="s">
        <v>309</v>
      </c>
      <c r="C136" s="878" t="s">
        <v>12</v>
      </c>
      <c r="D136" s="878"/>
      <c r="E136" s="641">
        <v>56</v>
      </c>
      <c r="F136" s="646">
        <f>F115</f>
        <v>1687</v>
      </c>
      <c r="G136" s="406">
        <f t="shared" si="23"/>
        <v>94472</v>
      </c>
      <c r="H136" s="641">
        <v>10</v>
      </c>
      <c r="I136" s="645">
        <v>0</v>
      </c>
      <c r="J136" s="406">
        <f t="shared" si="28"/>
        <v>0</v>
      </c>
      <c r="K136" s="407">
        <f t="shared" si="31"/>
        <v>9447.2000000000007</v>
      </c>
      <c r="L136" s="407">
        <f t="shared" si="29"/>
        <v>787.26666666666677</v>
      </c>
      <c r="M136" s="408">
        <f t="shared" si="30"/>
        <v>181.17902916792124</v>
      </c>
    </row>
    <row r="137" spans="1:13" ht="38.25" x14ac:dyDescent="0.25">
      <c r="A137" s="858"/>
      <c r="B137" s="405" t="s">
        <v>305</v>
      </c>
      <c r="C137" s="878" t="s">
        <v>891</v>
      </c>
      <c r="D137" s="878"/>
      <c r="E137" s="574">
        <f>D13*E13</f>
        <v>15584.484138559705</v>
      </c>
      <c r="F137" s="646">
        <f>F127</f>
        <v>10.199999999999999</v>
      </c>
      <c r="G137" s="406">
        <f t="shared" si="23"/>
        <v>158961.73821330897</v>
      </c>
      <c r="H137" s="641">
        <v>20</v>
      </c>
      <c r="I137" s="645">
        <v>0</v>
      </c>
      <c r="J137" s="406">
        <f t="shared" si="28"/>
        <v>0</v>
      </c>
      <c r="K137" s="407">
        <f t="shared" si="31"/>
        <v>7948.0869106654482</v>
      </c>
      <c r="L137" s="407">
        <f t="shared" si="29"/>
        <v>662.34057588878738</v>
      </c>
      <c r="M137" s="408">
        <f t="shared" si="30"/>
        <v>152.42893875610002</v>
      </c>
    </row>
    <row r="138" spans="1:13" ht="38.25" x14ac:dyDescent="0.25">
      <c r="A138" s="858"/>
      <c r="B138" s="405" t="s">
        <v>323</v>
      </c>
      <c r="C138" s="878" t="s">
        <v>12</v>
      </c>
      <c r="D138" s="878"/>
      <c r="E138" s="641">
        <v>70</v>
      </c>
      <c r="F138" s="646">
        <f>F128</f>
        <v>4.24</v>
      </c>
      <c r="G138" s="406">
        <f t="shared" si="23"/>
        <v>296.8</v>
      </c>
      <c r="H138" s="641">
        <v>1</v>
      </c>
      <c r="I138" s="645">
        <v>0</v>
      </c>
      <c r="J138" s="406">
        <f t="shared" si="28"/>
        <v>0</v>
      </c>
      <c r="K138" s="407">
        <f t="shared" si="31"/>
        <v>296.8</v>
      </c>
      <c r="L138" s="407">
        <f t="shared" si="29"/>
        <v>24.733333333333334</v>
      </c>
      <c r="M138" s="408">
        <f t="shared" si="30"/>
        <v>5.6920501161231929</v>
      </c>
    </row>
    <row r="139" spans="1:13" ht="38.25" x14ac:dyDescent="0.25">
      <c r="A139" s="858"/>
      <c r="B139" s="405" t="s">
        <v>1035</v>
      </c>
      <c r="C139" s="878" t="s">
        <v>12</v>
      </c>
      <c r="D139" s="878"/>
      <c r="E139" s="641">
        <v>14</v>
      </c>
      <c r="F139" s="646">
        <f>F129</f>
        <v>121.53</v>
      </c>
      <c r="G139" s="406">
        <f t="shared" si="23"/>
        <v>1701.42</v>
      </c>
      <c r="H139" s="641">
        <v>5</v>
      </c>
      <c r="I139" s="645">
        <v>0</v>
      </c>
      <c r="J139" s="406">
        <f t="shared" si="28"/>
        <v>0</v>
      </c>
      <c r="K139" s="407">
        <f t="shared" si="31"/>
        <v>340.28399999999999</v>
      </c>
      <c r="L139" s="407">
        <f t="shared" si="29"/>
        <v>28.356999999999999</v>
      </c>
      <c r="M139" s="408">
        <f t="shared" si="30"/>
        <v>6.5259891567212414</v>
      </c>
    </row>
    <row r="140" spans="1:13" ht="38.25" x14ac:dyDescent="0.25">
      <c r="A140" s="858"/>
      <c r="B140" s="405" t="s">
        <v>313</v>
      </c>
      <c r="C140" s="878" t="s">
        <v>12</v>
      </c>
      <c r="D140" s="878"/>
      <c r="E140" s="641">
        <v>14</v>
      </c>
      <c r="F140" s="646">
        <f>F130</f>
        <v>99.9</v>
      </c>
      <c r="G140" s="406">
        <f>E140*F140</f>
        <v>1398.6000000000001</v>
      </c>
      <c r="H140" s="641">
        <v>1</v>
      </c>
      <c r="I140" s="645">
        <v>0</v>
      </c>
      <c r="J140" s="406">
        <f>G140*I140</f>
        <v>0</v>
      </c>
      <c r="K140" s="407">
        <f t="shared" si="31"/>
        <v>1398.6000000000001</v>
      </c>
      <c r="L140" s="407">
        <f>K140/12</f>
        <v>116.55000000000001</v>
      </c>
      <c r="M140" s="408">
        <f>K140/52.1429</f>
        <v>26.822443707580518</v>
      </c>
    </row>
    <row r="141" spans="1:13" ht="38.25" x14ac:dyDescent="0.25">
      <c r="A141" s="858"/>
      <c r="B141" s="405" t="s">
        <v>1071</v>
      </c>
      <c r="C141" s="878" t="s">
        <v>12</v>
      </c>
      <c r="D141" s="878"/>
      <c r="E141" s="641">
        <v>0</v>
      </c>
      <c r="F141" s="639">
        <v>0</v>
      </c>
      <c r="G141" s="406">
        <f>E141*F141</f>
        <v>0</v>
      </c>
      <c r="H141" s="641">
        <v>1</v>
      </c>
      <c r="I141" s="645">
        <v>0</v>
      </c>
      <c r="J141" s="406">
        <f>G141*I141</f>
        <v>0</v>
      </c>
      <c r="K141" s="407">
        <f t="shared" si="31"/>
        <v>0</v>
      </c>
      <c r="L141" s="407">
        <f>K141/12</f>
        <v>0</v>
      </c>
      <c r="M141" s="408">
        <f>K141/52.1429</f>
        <v>0</v>
      </c>
    </row>
    <row r="142" spans="1:13" ht="39" thickBot="1" x14ac:dyDescent="0.3">
      <c r="A142" s="859"/>
      <c r="B142" s="405" t="s">
        <v>707</v>
      </c>
      <c r="C142" s="878" t="s">
        <v>12</v>
      </c>
      <c r="D142" s="878"/>
      <c r="E142" s="641">
        <v>0</v>
      </c>
      <c r="F142" s="639">
        <v>0</v>
      </c>
      <c r="G142" s="406">
        <f>E142*F142</f>
        <v>0</v>
      </c>
      <c r="H142" s="641">
        <v>1</v>
      </c>
      <c r="I142" s="645">
        <v>0</v>
      </c>
      <c r="J142" s="406">
        <f>G142*I142</f>
        <v>0</v>
      </c>
      <c r="K142" s="407">
        <f t="shared" si="31"/>
        <v>0</v>
      </c>
      <c r="L142" s="407">
        <f>K142/12</f>
        <v>0</v>
      </c>
      <c r="M142" s="408">
        <f>K142/52.1429</f>
        <v>0</v>
      </c>
    </row>
    <row r="143" spans="1:13" ht="38.25" thickBot="1" x14ac:dyDescent="0.3">
      <c r="A143" s="854" t="s">
        <v>421</v>
      </c>
      <c r="B143" s="900" t="s">
        <v>324</v>
      </c>
      <c r="C143" s="901"/>
      <c r="D143" s="901"/>
      <c r="E143" s="901"/>
      <c r="F143" s="901"/>
      <c r="G143" s="901"/>
      <c r="H143" s="901"/>
      <c r="I143" s="901"/>
      <c r="J143" s="901"/>
      <c r="K143" s="901"/>
      <c r="L143" s="901"/>
      <c r="M143" s="902"/>
    </row>
    <row r="144" spans="1:13" ht="38.25" x14ac:dyDescent="0.25">
      <c r="A144" s="855"/>
      <c r="B144" s="405" t="s">
        <v>325</v>
      </c>
      <c r="C144" s="878" t="s">
        <v>12</v>
      </c>
      <c r="D144" s="878"/>
      <c r="E144" s="641">
        <v>5</v>
      </c>
      <c r="F144" s="646">
        <f>F50</f>
        <v>445.1</v>
      </c>
      <c r="G144" s="406">
        <f t="shared" si="23"/>
        <v>2225.5</v>
      </c>
      <c r="H144" s="641">
        <v>10</v>
      </c>
      <c r="I144" s="645">
        <v>0</v>
      </c>
      <c r="J144" s="406">
        <f t="shared" si="28"/>
        <v>0</v>
      </c>
      <c r="K144" s="407">
        <f t="shared" ref="K144:K153" si="32">(G144-J144)/H144</f>
        <v>222.55</v>
      </c>
      <c r="L144" s="407">
        <f t="shared" si="29"/>
        <v>18.545833333333334</v>
      </c>
      <c r="M144" s="408">
        <f t="shared" si="30"/>
        <v>4.2680786837709457</v>
      </c>
    </row>
    <row r="145" spans="1:13" ht="38.25" x14ac:dyDescent="0.25">
      <c r="A145" s="855"/>
      <c r="B145" s="405" t="s">
        <v>303</v>
      </c>
      <c r="C145" s="878" t="s">
        <v>12</v>
      </c>
      <c r="D145" s="878"/>
      <c r="E145" s="641">
        <v>10</v>
      </c>
      <c r="F145" s="646">
        <f>F51</f>
        <v>229.9</v>
      </c>
      <c r="G145" s="406">
        <f t="shared" si="23"/>
        <v>2299</v>
      </c>
      <c r="H145" s="641">
        <v>10</v>
      </c>
      <c r="I145" s="645">
        <v>0</v>
      </c>
      <c r="J145" s="406">
        <f t="shared" si="28"/>
        <v>0</v>
      </c>
      <c r="K145" s="407">
        <f t="shared" si="32"/>
        <v>229.9</v>
      </c>
      <c r="L145" s="407">
        <f t="shared" si="29"/>
        <v>19.158333333333335</v>
      </c>
      <c r="M145" s="408">
        <f t="shared" si="30"/>
        <v>4.4090374720239955</v>
      </c>
    </row>
    <row r="146" spans="1:13" ht="38.25" x14ac:dyDescent="0.25">
      <c r="A146" s="855"/>
      <c r="B146" s="405" t="s">
        <v>304</v>
      </c>
      <c r="C146" s="878" t="s">
        <v>12</v>
      </c>
      <c r="D146" s="878"/>
      <c r="E146" s="641">
        <v>4</v>
      </c>
      <c r="F146" s="639">
        <v>1967.92</v>
      </c>
      <c r="G146" s="406">
        <f t="shared" si="23"/>
        <v>7871.68</v>
      </c>
      <c r="H146" s="641">
        <v>10</v>
      </c>
      <c r="I146" s="645">
        <v>0</v>
      </c>
      <c r="J146" s="406">
        <f t="shared" si="28"/>
        <v>0</v>
      </c>
      <c r="K146" s="407">
        <f t="shared" si="32"/>
        <v>787.16800000000001</v>
      </c>
      <c r="L146" s="407">
        <f t="shared" si="29"/>
        <v>65.597333333333339</v>
      </c>
      <c r="M146" s="408">
        <f t="shared" si="30"/>
        <v>15.096360194772444</v>
      </c>
    </row>
    <row r="147" spans="1:13" ht="38.25" x14ac:dyDescent="0.25">
      <c r="A147" s="855"/>
      <c r="B147" s="405" t="s">
        <v>327</v>
      </c>
      <c r="C147" s="878" t="s">
        <v>12</v>
      </c>
      <c r="D147" s="878"/>
      <c r="E147" s="641">
        <v>2</v>
      </c>
      <c r="F147" s="639">
        <v>545.14</v>
      </c>
      <c r="G147" s="406">
        <f t="shared" si="23"/>
        <v>1090.28</v>
      </c>
      <c r="H147" s="641">
        <v>10</v>
      </c>
      <c r="I147" s="645">
        <v>0</v>
      </c>
      <c r="J147" s="406">
        <f t="shared" si="28"/>
        <v>0</v>
      </c>
      <c r="K147" s="407">
        <f t="shared" si="32"/>
        <v>109.02799999999999</v>
      </c>
      <c r="L147" s="407">
        <f t="shared" si="29"/>
        <v>9.0856666666666666</v>
      </c>
      <c r="M147" s="408">
        <f t="shared" si="30"/>
        <v>2.0909462266195398</v>
      </c>
    </row>
    <row r="148" spans="1:13" ht="38.25" x14ac:dyDescent="0.25">
      <c r="A148" s="855"/>
      <c r="B148" s="405" t="s">
        <v>326</v>
      </c>
      <c r="C148" s="878" t="s">
        <v>12</v>
      </c>
      <c r="D148" s="878"/>
      <c r="E148" s="641">
        <v>5</v>
      </c>
      <c r="F148" s="639">
        <v>349.9</v>
      </c>
      <c r="G148" s="406">
        <f t="shared" si="23"/>
        <v>1749.5</v>
      </c>
      <c r="H148" s="641">
        <v>10</v>
      </c>
      <c r="I148" s="645">
        <v>0</v>
      </c>
      <c r="J148" s="406">
        <f t="shared" si="28"/>
        <v>0</v>
      </c>
      <c r="K148" s="407">
        <f t="shared" si="32"/>
        <v>174.95</v>
      </c>
      <c r="L148" s="407">
        <f t="shared" si="29"/>
        <v>14.579166666666666</v>
      </c>
      <c r="M148" s="408">
        <f t="shared" si="30"/>
        <v>3.3552027217511875</v>
      </c>
    </row>
    <row r="149" spans="1:13" ht="38.25" x14ac:dyDescent="0.25">
      <c r="A149" s="855"/>
      <c r="B149" s="405" t="s">
        <v>296</v>
      </c>
      <c r="C149" s="878" t="s">
        <v>12</v>
      </c>
      <c r="D149" s="878"/>
      <c r="E149" s="641">
        <v>2</v>
      </c>
      <c r="F149" s="646">
        <f>F39</f>
        <v>1199.99</v>
      </c>
      <c r="G149" s="406">
        <f t="shared" si="23"/>
        <v>2399.98</v>
      </c>
      <c r="H149" s="641">
        <v>10</v>
      </c>
      <c r="I149" s="645">
        <v>0</v>
      </c>
      <c r="J149" s="406">
        <f t="shared" si="28"/>
        <v>0</v>
      </c>
      <c r="K149" s="407">
        <f t="shared" si="32"/>
        <v>239.99799999999999</v>
      </c>
      <c r="L149" s="407">
        <f t="shared" si="29"/>
        <v>19.999833333333331</v>
      </c>
      <c r="M149" s="408">
        <f t="shared" si="30"/>
        <v>4.6026975868239015</v>
      </c>
    </row>
    <row r="150" spans="1:13" ht="38.25" x14ac:dyDescent="0.25">
      <c r="A150" s="855"/>
      <c r="B150" s="405" t="s">
        <v>895</v>
      </c>
      <c r="C150" s="878" t="s">
        <v>12</v>
      </c>
      <c r="D150" s="878"/>
      <c r="E150" s="641">
        <v>10</v>
      </c>
      <c r="F150" s="646">
        <f>F138</f>
        <v>4.24</v>
      </c>
      <c r="G150" s="406">
        <f t="shared" si="23"/>
        <v>42.400000000000006</v>
      </c>
      <c r="H150" s="641">
        <v>10</v>
      </c>
      <c r="I150" s="645">
        <v>0</v>
      </c>
      <c r="J150" s="406">
        <f t="shared" si="28"/>
        <v>0</v>
      </c>
      <c r="K150" s="407">
        <f t="shared" si="32"/>
        <v>4.24</v>
      </c>
      <c r="L150" s="407">
        <f t="shared" si="29"/>
        <v>0.35333333333333333</v>
      </c>
      <c r="M150" s="408">
        <f t="shared" si="30"/>
        <v>8.131500165890275E-2</v>
      </c>
    </row>
    <row r="151" spans="1:13" ht="38.25" x14ac:dyDescent="0.25">
      <c r="A151" s="855"/>
      <c r="B151" s="405" t="s">
        <v>705</v>
      </c>
      <c r="C151" s="878" t="s">
        <v>12</v>
      </c>
      <c r="D151" s="878"/>
      <c r="E151" s="641">
        <v>0</v>
      </c>
      <c r="F151" s="639">
        <v>0</v>
      </c>
      <c r="G151" s="406">
        <f>E151*F151</f>
        <v>0</v>
      </c>
      <c r="H151" s="641">
        <v>1</v>
      </c>
      <c r="I151" s="645">
        <v>0</v>
      </c>
      <c r="J151" s="406">
        <f>G151*I151</f>
        <v>0</v>
      </c>
      <c r="K151" s="407">
        <f t="shared" si="32"/>
        <v>0</v>
      </c>
      <c r="L151" s="407">
        <f>K151/12</f>
        <v>0</v>
      </c>
      <c r="M151" s="408">
        <f>K151/52.1429</f>
        <v>0</v>
      </c>
    </row>
    <row r="152" spans="1:13" ht="38.25" x14ac:dyDescent="0.25">
      <c r="A152" s="855"/>
      <c r="B152" s="405" t="s">
        <v>706</v>
      </c>
      <c r="C152" s="878" t="s">
        <v>12</v>
      </c>
      <c r="D152" s="878"/>
      <c r="E152" s="641">
        <v>0</v>
      </c>
      <c r="F152" s="639">
        <v>0</v>
      </c>
      <c r="G152" s="406">
        <f>E152*F152</f>
        <v>0</v>
      </c>
      <c r="H152" s="641">
        <v>1</v>
      </c>
      <c r="I152" s="645">
        <v>0</v>
      </c>
      <c r="J152" s="406">
        <f>G152*I152</f>
        <v>0</v>
      </c>
      <c r="K152" s="407">
        <f t="shared" si="32"/>
        <v>0</v>
      </c>
      <c r="L152" s="407">
        <f>K152/12</f>
        <v>0</v>
      </c>
      <c r="M152" s="408">
        <f>K152/52.1429</f>
        <v>0</v>
      </c>
    </row>
    <row r="153" spans="1:13" ht="39" thickBot="1" x14ac:dyDescent="0.3">
      <c r="A153" s="855"/>
      <c r="B153" s="405" t="s">
        <v>707</v>
      </c>
      <c r="C153" s="878" t="s">
        <v>12</v>
      </c>
      <c r="D153" s="878"/>
      <c r="E153" s="641">
        <v>0</v>
      </c>
      <c r="F153" s="639">
        <v>0</v>
      </c>
      <c r="G153" s="406">
        <f>E153*F153</f>
        <v>0</v>
      </c>
      <c r="H153" s="641">
        <v>1</v>
      </c>
      <c r="I153" s="645">
        <v>0</v>
      </c>
      <c r="J153" s="406">
        <f>G153*I153</f>
        <v>0</v>
      </c>
      <c r="K153" s="407">
        <f t="shared" si="32"/>
        <v>0</v>
      </c>
      <c r="L153" s="407">
        <f>K153/12</f>
        <v>0</v>
      </c>
      <c r="M153" s="408">
        <f>K153/52.1429</f>
        <v>0</v>
      </c>
    </row>
    <row r="154" spans="1:13" ht="38.25" thickBot="1" x14ac:dyDescent="0.3">
      <c r="A154" s="855"/>
      <c r="B154" s="900" t="s">
        <v>328</v>
      </c>
      <c r="C154" s="901"/>
      <c r="D154" s="901"/>
      <c r="E154" s="901"/>
      <c r="F154" s="901"/>
      <c r="G154" s="901"/>
      <c r="H154" s="901"/>
      <c r="I154" s="901"/>
      <c r="J154" s="901"/>
      <c r="K154" s="901"/>
      <c r="L154" s="901"/>
      <c r="M154" s="902"/>
    </row>
    <row r="155" spans="1:13" ht="38.25" x14ac:dyDescent="0.25">
      <c r="A155" s="855"/>
      <c r="B155" s="405" t="s">
        <v>297</v>
      </c>
      <c r="C155" s="878" t="s">
        <v>12</v>
      </c>
      <c r="D155" s="878"/>
      <c r="E155" s="641">
        <v>2</v>
      </c>
      <c r="F155" s="639">
        <v>2299.9899999999998</v>
      </c>
      <c r="G155" s="406">
        <f t="shared" si="23"/>
        <v>4599.9799999999996</v>
      </c>
      <c r="H155" s="641">
        <v>10</v>
      </c>
      <c r="I155" s="645">
        <v>0</v>
      </c>
      <c r="J155" s="406">
        <f t="shared" si="28"/>
        <v>0</v>
      </c>
      <c r="K155" s="407">
        <f t="shared" ref="K155:K164" si="33">(G155-J155)/H155</f>
        <v>459.99799999999993</v>
      </c>
      <c r="L155" s="407">
        <f t="shared" si="29"/>
        <v>38.333166666666664</v>
      </c>
      <c r="M155" s="408">
        <f t="shared" si="30"/>
        <v>8.8218722012009305</v>
      </c>
    </row>
    <row r="156" spans="1:13" ht="38.25" x14ac:dyDescent="0.25">
      <c r="A156" s="855"/>
      <c r="B156" s="405" t="s">
        <v>329</v>
      </c>
      <c r="C156" s="878" t="s">
        <v>12</v>
      </c>
      <c r="D156" s="878"/>
      <c r="E156" s="641">
        <v>1</v>
      </c>
      <c r="F156" s="639">
        <v>507.96</v>
      </c>
      <c r="G156" s="406">
        <f t="shared" si="23"/>
        <v>507.96</v>
      </c>
      <c r="H156" s="641">
        <v>10</v>
      </c>
      <c r="I156" s="645">
        <v>0</v>
      </c>
      <c r="J156" s="406">
        <f t="shared" si="28"/>
        <v>0</v>
      </c>
      <c r="K156" s="407">
        <f t="shared" si="33"/>
        <v>50.795999999999999</v>
      </c>
      <c r="L156" s="407">
        <f t="shared" si="29"/>
        <v>4.2329999999999997</v>
      </c>
      <c r="M156" s="408">
        <f t="shared" si="30"/>
        <v>0.97416906232679812</v>
      </c>
    </row>
    <row r="157" spans="1:13" ht="38.25" x14ac:dyDescent="0.25">
      <c r="A157" s="855"/>
      <c r="B157" s="405" t="s">
        <v>330</v>
      </c>
      <c r="C157" s="878" t="s">
        <v>12</v>
      </c>
      <c r="D157" s="878"/>
      <c r="E157" s="641">
        <v>2</v>
      </c>
      <c r="F157" s="639">
        <v>182.39</v>
      </c>
      <c r="G157" s="406">
        <f t="shared" si="23"/>
        <v>364.78</v>
      </c>
      <c r="H157" s="641">
        <v>10</v>
      </c>
      <c r="I157" s="645">
        <v>0</v>
      </c>
      <c r="J157" s="406">
        <f t="shared" si="28"/>
        <v>0</v>
      </c>
      <c r="K157" s="407">
        <f t="shared" si="33"/>
        <v>36.477999999999994</v>
      </c>
      <c r="L157" s="407">
        <f t="shared" si="29"/>
        <v>3.0398333333333327</v>
      </c>
      <c r="M157" s="408">
        <f t="shared" si="30"/>
        <v>0.6995775071965693</v>
      </c>
    </row>
    <row r="158" spans="1:13" ht="38.25" x14ac:dyDescent="0.25">
      <c r="A158" s="855"/>
      <c r="B158" s="405" t="s">
        <v>326</v>
      </c>
      <c r="C158" s="878" t="s">
        <v>12</v>
      </c>
      <c r="D158" s="878"/>
      <c r="E158" s="641">
        <v>4</v>
      </c>
      <c r="F158" s="646">
        <f>F148</f>
        <v>349.9</v>
      </c>
      <c r="G158" s="406">
        <f t="shared" si="23"/>
        <v>1399.6</v>
      </c>
      <c r="H158" s="641">
        <v>10</v>
      </c>
      <c r="I158" s="645">
        <v>0</v>
      </c>
      <c r="J158" s="406">
        <f t="shared" si="28"/>
        <v>0</v>
      </c>
      <c r="K158" s="407">
        <f t="shared" si="33"/>
        <v>139.95999999999998</v>
      </c>
      <c r="L158" s="407">
        <f t="shared" si="29"/>
        <v>11.663333333333332</v>
      </c>
      <c r="M158" s="408">
        <f t="shared" si="30"/>
        <v>2.6841621774009496</v>
      </c>
    </row>
    <row r="159" spans="1:13" ht="38.25" x14ac:dyDescent="0.25">
      <c r="A159" s="855"/>
      <c r="B159" s="405" t="s">
        <v>325</v>
      </c>
      <c r="C159" s="878" t="s">
        <v>12</v>
      </c>
      <c r="D159" s="878"/>
      <c r="E159" s="641">
        <v>3</v>
      </c>
      <c r="F159" s="639">
        <v>667</v>
      </c>
      <c r="G159" s="406">
        <f t="shared" ref="G159:G164" si="34">E159*F159</f>
        <v>2001</v>
      </c>
      <c r="H159" s="641">
        <v>10</v>
      </c>
      <c r="I159" s="645">
        <v>0</v>
      </c>
      <c r="J159" s="406">
        <f>G159*I159</f>
        <v>0</v>
      </c>
      <c r="K159" s="407">
        <f t="shared" si="33"/>
        <v>200.1</v>
      </c>
      <c r="L159" s="407">
        <f>K159/12</f>
        <v>16.675000000000001</v>
      </c>
      <c r="M159" s="408">
        <f>K159/52.1429</f>
        <v>3.837531092440198</v>
      </c>
    </row>
    <row r="160" spans="1:13" ht="38.25" x14ac:dyDescent="0.25">
      <c r="A160" s="855"/>
      <c r="B160" s="405" t="s">
        <v>916</v>
      </c>
      <c r="C160" s="878" t="s">
        <v>12</v>
      </c>
      <c r="D160" s="878"/>
      <c r="E160" s="641">
        <v>6</v>
      </c>
      <c r="F160" s="639">
        <v>350</v>
      </c>
      <c r="G160" s="406">
        <f t="shared" si="34"/>
        <v>2100</v>
      </c>
      <c r="H160" s="641">
        <v>10</v>
      </c>
      <c r="I160" s="645">
        <v>0</v>
      </c>
      <c r="J160" s="406">
        <f t="shared" si="28"/>
        <v>0</v>
      </c>
      <c r="K160" s="407">
        <f t="shared" si="33"/>
        <v>210</v>
      </c>
      <c r="L160" s="407">
        <f t="shared" si="29"/>
        <v>17.5</v>
      </c>
      <c r="M160" s="408">
        <f t="shared" si="30"/>
        <v>4.0273939500871645</v>
      </c>
    </row>
    <row r="161" spans="1:13" ht="38.25" x14ac:dyDescent="0.25">
      <c r="A161" s="855"/>
      <c r="B161" s="405" t="s">
        <v>306</v>
      </c>
      <c r="C161" s="878" t="s">
        <v>12</v>
      </c>
      <c r="D161" s="878"/>
      <c r="E161" s="641">
        <v>10</v>
      </c>
      <c r="F161" s="646">
        <f>F150</f>
        <v>4.24</v>
      </c>
      <c r="G161" s="406">
        <f t="shared" si="34"/>
        <v>42.400000000000006</v>
      </c>
      <c r="H161" s="641">
        <v>10</v>
      </c>
      <c r="I161" s="645">
        <v>0</v>
      </c>
      <c r="J161" s="406">
        <f t="shared" si="28"/>
        <v>0</v>
      </c>
      <c r="K161" s="407">
        <f t="shared" si="33"/>
        <v>4.24</v>
      </c>
      <c r="L161" s="407">
        <f t="shared" si="29"/>
        <v>0.35333333333333333</v>
      </c>
      <c r="M161" s="408">
        <f t="shared" si="30"/>
        <v>8.131500165890275E-2</v>
      </c>
    </row>
    <row r="162" spans="1:13" ht="38.25" x14ac:dyDescent="0.25">
      <c r="A162" s="855"/>
      <c r="B162" s="405" t="s">
        <v>705</v>
      </c>
      <c r="C162" s="878" t="s">
        <v>12</v>
      </c>
      <c r="D162" s="878"/>
      <c r="E162" s="641">
        <v>0</v>
      </c>
      <c r="F162" s="639">
        <v>0</v>
      </c>
      <c r="G162" s="406">
        <f t="shared" si="34"/>
        <v>0</v>
      </c>
      <c r="H162" s="641">
        <v>1</v>
      </c>
      <c r="I162" s="645">
        <v>0</v>
      </c>
      <c r="J162" s="406">
        <f>G162*I162</f>
        <v>0</v>
      </c>
      <c r="K162" s="407">
        <f t="shared" si="33"/>
        <v>0</v>
      </c>
      <c r="L162" s="407">
        <f>K162/12</f>
        <v>0</v>
      </c>
      <c r="M162" s="408">
        <f>K162/52.1429</f>
        <v>0</v>
      </c>
    </row>
    <row r="163" spans="1:13" ht="38.25" x14ac:dyDescent="0.25">
      <c r="A163" s="855"/>
      <c r="B163" s="405" t="s">
        <v>706</v>
      </c>
      <c r="C163" s="878" t="s">
        <v>12</v>
      </c>
      <c r="D163" s="878"/>
      <c r="E163" s="641">
        <v>0</v>
      </c>
      <c r="F163" s="639">
        <v>0</v>
      </c>
      <c r="G163" s="406">
        <f t="shared" si="34"/>
        <v>0</v>
      </c>
      <c r="H163" s="641">
        <v>1</v>
      </c>
      <c r="I163" s="645">
        <v>0</v>
      </c>
      <c r="J163" s="406">
        <f>G163*I163</f>
        <v>0</v>
      </c>
      <c r="K163" s="407">
        <f t="shared" si="33"/>
        <v>0</v>
      </c>
      <c r="L163" s="407">
        <f>K163/12</f>
        <v>0</v>
      </c>
      <c r="M163" s="408">
        <f>K163/52.1429</f>
        <v>0</v>
      </c>
    </row>
    <row r="164" spans="1:13" ht="39" thickBot="1" x14ac:dyDescent="0.3">
      <c r="A164" s="855"/>
      <c r="B164" s="405" t="s">
        <v>707</v>
      </c>
      <c r="C164" s="878" t="s">
        <v>12</v>
      </c>
      <c r="D164" s="878"/>
      <c r="E164" s="641">
        <v>0</v>
      </c>
      <c r="F164" s="639">
        <v>0</v>
      </c>
      <c r="G164" s="406">
        <f t="shared" si="34"/>
        <v>0</v>
      </c>
      <c r="H164" s="641">
        <v>1</v>
      </c>
      <c r="I164" s="645">
        <v>0</v>
      </c>
      <c r="J164" s="406">
        <f>G164*I164</f>
        <v>0</v>
      </c>
      <c r="K164" s="407">
        <f t="shared" si="33"/>
        <v>0</v>
      </c>
      <c r="L164" s="407">
        <f>K164/12</f>
        <v>0</v>
      </c>
      <c r="M164" s="408">
        <f>K164/52.1429</f>
        <v>0</v>
      </c>
    </row>
    <row r="165" spans="1:13" ht="38.25" thickBot="1" x14ac:dyDescent="0.3">
      <c r="A165" s="855"/>
      <c r="B165" s="900" t="s">
        <v>331</v>
      </c>
      <c r="C165" s="901"/>
      <c r="D165" s="901"/>
      <c r="E165" s="901"/>
      <c r="F165" s="901"/>
      <c r="G165" s="901"/>
      <c r="H165" s="901"/>
      <c r="I165" s="901"/>
      <c r="J165" s="901"/>
      <c r="K165" s="901"/>
      <c r="L165" s="901"/>
      <c r="M165" s="902"/>
    </row>
    <row r="166" spans="1:13" ht="38.25" x14ac:dyDescent="0.25">
      <c r="A166" s="855"/>
      <c r="B166" s="405" t="s">
        <v>332</v>
      </c>
      <c r="C166" s="878" t="s">
        <v>12</v>
      </c>
      <c r="D166" s="878"/>
      <c r="E166" s="641">
        <v>12</v>
      </c>
      <c r="F166" s="639">
        <v>1127.52</v>
      </c>
      <c r="G166" s="406">
        <f t="shared" ref="G166:G179" si="35">E166*F166</f>
        <v>13530.24</v>
      </c>
      <c r="H166" s="641">
        <v>20</v>
      </c>
      <c r="I166" s="645">
        <v>0</v>
      </c>
      <c r="J166" s="406">
        <f t="shared" si="28"/>
        <v>0</v>
      </c>
      <c r="K166" s="407">
        <f t="shared" ref="K166:K171" si="36">(G166-J166)/H166</f>
        <v>676.51199999999994</v>
      </c>
      <c r="L166" s="407">
        <f t="shared" si="29"/>
        <v>56.375999999999998</v>
      </c>
      <c r="M166" s="408">
        <f t="shared" si="30"/>
        <v>12.974192076006512</v>
      </c>
    </row>
    <row r="167" spans="1:13" ht="38.25" x14ac:dyDescent="0.25">
      <c r="A167" s="855"/>
      <c r="B167" s="405" t="s">
        <v>333</v>
      </c>
      <c r="C167" s="878" t="s">
        <v>12</v>
      </c>
      <c r="D167" s="878"/>
      <c r="E167" s="641">
        <v>1</v>
      </c>
      <c r="F167" s="639">
        <v>1199.99</v>
      </c>
      <c r="G167" s="406">
        <f t="shared" si="35"/>
        <v>1199.99</v>
      </c>
      <c r="H167" s="641">
        <v>10</v>
      </c>
      <c r="I167" s="645">
        <v>0</v>
      </c>
      <c r="J167" s="406">
        <f t="shared" si="28"/>
        <v>0</v>
      </c>
      <c r="K167" s="407">
        <f t="shared" si="36"/>
        <v>119.999</v>
      </c>
      <c r="L167" s="407">
        <f t="shared" si="29"/>
        <v>9.9999166666666657</v>
      </c>
      <c r="M167" s="408">
        <f t="shared" si="30"/>
        <v>2.3013487934119508</v>
      </c>
    </row>
    <row r="168" spans="1:13" ht="38.25" x14ac:dyDescent="0.25">
      <c r="A168" s="855"/>
      <c r="B168" s="405" t="s">
        <v>334</v>
      </c>
      <c r="C168" s="878" t="s">
        <v>12</v>
      </c>
      <c r="D168" s="878"/>
      <c r="E168" s="641">
        <v>1</v>
      </c>
      <c r="F168" s="639">
        <v>183.26</v>
      </c>
      <c r="G168" s="406">
        <f t="shared" si="35"/>
        <v>183.26</v>
      </c>
      <c r="H168" s="641">
        <v>10</v>
      </c>
      <c r="I168" s="645">
        <v>0</v>
      </c>
      <c r="J168" s="406">
        <f t="shared" si="28"/>
        <v>0</v>
      </c>
      <c r="K168" s="407">
        <f t="shared" si="36"/>
        <v>18.326000000000001</v>
      </c>
      <c r="L168" s="407">
        <f t="shared" si="29"/>
        <v>1.5271666666666668</v>
      </c>
      <c r="M168" s="408">
        <f t="shared" si="30"/>
        <v>0.35145724537760659</v>
      </c>
    </row>
    <row r="169" spans="1:13" ht="38.25" x14ac:dyDescent="0.25">
      <c r="A169" s="855"/>
      <c r="B169" s="405" t="s">
        <v>1033</v>
      </c>
      <c r="C169" s="878" t="s">
        <v>12</v>
      </c>
      <c r="D169" s="878"/>
      <c r="E169" s="641">
        <v>41</v>
      </c>
      <c r="F169" s="639">
        <v>11.99</v>
      </c>
      <c r="G169" s="406">
        <f>E169*F169</f>
        <v>491.59000000000003</v>
      </c>
      <c r="H169" s="641">
        <v>1</v>
      </c>
      <c r="I169" s="645">
        <v>0</v>
      </c>
      <c r="J169" s="406">
        <f>G169*I169</f>
        <v>0</v>
      </c>
      <c r="K169" s="407">
        <f t="shared" si="36"/>
        <v>491.59000000000003</v>
      </c>
      <c r="L169" s="407">
        <f>K169/12</f>
        <v>40.965833333333336</v>
      </c>
      <c r="M169" s="408">
        <f>K169/52.1429</f>
        <v>9.4277456758254736</v>
      </c>
    </row>
    <row r="170" spans="1:13" ht="38.25" x14ac:dyDescent="0.25">
      <c r="A170" s="855"/>
      <c r="B170" s="405" t="s">
        <v>1034</v>
      </c>
      <c r="C170" s="878" t="s">
        <v>12</v>
      </c>
      <c r="D170" s="878"/>
      <c r="E170" s="641">
        <v>20</v>
      </c>
      <c r="F170" s="639">
        <v>12.99</v>
      </c>
      <c r="G170" s="406">
        <f>E170*F170</f>
        <v>259.8</v>
      </c>
      <c r="H170" s="641">
        <v>1</v>
      </c>
      <c r="I170" s="645">
        <v>0</v>
      </c>
      <c r="J170" s="406">
        <f>G170*I170</f>
        <v>0</v>
      </c>
      <c r="K170" s="407">
        <f t="shared" si="36"/>
        <v>259.8</v>
      </c>
      <c r="L170" s="407">
        <f>K170/12</f>
        <v>21.650000000000002</v>
      </c>
      <c r="M170" s="408">
        <f>K170/52.1429</f>
        <v>4.982461658250692</v>
      </c>
    </row>
    <row r="171" spans="1:13" ht="38.25" x14ac:dyDescent="0.25">
      <c r="A171" s="855"/>
      <c r="B171" s="405" t="s">
        <v>1029</v>
      </c>
      <c r="C171" s="878" t="s">
        <v>12</v>
      </c>
      <c r="D171" s="878"/>
      <c r="E171" s="641">
        <v>20</v>
      </c>
      <c r="F171" s="639">
        <v>28.47</v>
      </c>
      <c r="G171" s="406">
        <f>E171*F171</f>
        <v>569.4</v>
      </c>
      <c r="H171" s="641">
        <v>1</v>
      </c>
      <c r="I171" s="645">
        <v>0</v>
      </c>
      <c r="J171" s="406">
        <f>G171*I171</f>
        <v>0</v>
      </c>
      <c r="K171" s="407">
        <f t="shared" si="36"/>
        <v>569.4</v>
      </c>
      <c r="L171" s="407">
        <f>K171/12</f>
        <v>47.449999999999996</v>
      </c>
      <c r="M171" s="408">
        <f>K171/52.1429</f>
        <v>10.919991024664911</v>
      </c>
    </row>
    <row r="172" spans="1:13" ht="39" thickBot="1" x14ac:dyDescent="0.3">
      <c r="A172" s="855"/>
      <c r="B172" s="405" t="s">
        <v>1036</v>
      </c>
      <c r="C172" s="903" t="s">
        <v>12</v>
      </c>
      <c r="D172" s="903"/>
      <c r="E172" s="641">
        <v>20</v>
      </c>
      <c r="F172" s="639">
        <v>23.62</v>
      </c>
      <c r="G172" s="406">
        <f>E172*F172</f>
        <v>472.40000000000003</v>
      </c>
      <c r="H172" s="641">
        <v>1</v>
      </c>
      <c r="I172" s="645">
        <v>0</v>
      </c>
      <c r="J172" s="406">
        <f>G172*I172</f>
        <v>0</v>
      </c>
      <c r="K172" s="407">
        <f t="shared" ref="K172" si="37">(G172-J172)/H172</f>
        <v>472.40000000000003</v>
      </c>
      <c r="L172" s="407">
        <f>K172/12</f>
        <v>39.366666666666667</v>
      </c>
      <c r="M172" s="408">
        <f>K172/52.1429</f>
        <v>9.0597185810532217</v>
      </c>
    </row>
    <row r="173" spans="1:13" ht="38.25" thickBot="1" x14ac:dyDescent="0.3">
      <c r="A173" s="855"/>
      <c r="B173" s="900" t="s">
        <v>335</v>
      </c>
      <c r="C173" s="901"/>
      <c r="D173" s="901"/>
      <c r="E173" s="901"/>
      <c r="F173" s="901"/>
      <c r="G173" s="901"/>
      <c r="H173" s="901"/>
      <c r="I173" s="901"/>
      <c r="J173" s="901"/>
      <c r="K173" s="901"/>
      <c r="L173" s="901"/>
      <c r="M173" s="902"/>
    </row>
    <row r="174" spans="1:13" ht="38.25" x14ac:dyDescent="0.25">
      <c r="A174" s="855"/>
      <c r="B174" s="412" t="s">
        <v>336</v>
      </c>
      <c r="C174" s="904" t="s">
        <v>12</v>
      </c>
      <c r="D174" s="904"/>
      <c r="E174" s="643">
        <v>5</v>
      </c>
      <c r="F174" s="636">
        <v>225670</v>
      </c>
      <c r="G174" s="413">
        <f t="shared" si="35"/>
        <v>1128350</v>
      </c>
      <c r="H174" s="643">
        <v>40</v>
      </c>
      <c r="I174" s="644">
        <v>0.4</v>
      </c>
      <c r="J174" s="413">
        <f t="shared" si="28"/>
        <v>451340</v>
      </c>
      <c r="K174" s="414">
        <f t="shared" ref="K174:K179" si="38">(G174-J174)/H174</f>
        <v>16925.25</v>
      </c>
      <c r="L174" s="414">
        <f t="shared" si="29"/>
        <v>1410.4375</v>
      </c>
      <c r="M174" s="415">
        <f t="shared" si="30"/>
        <v>324.59356882720374</v>
      </c>
    </row>
    <row r="175" spans="1:13" ht="38.25" x14ac:dyDescent="0.25">
      <c r="A175" s="855"/>
      <c r="B175" s="405" t="s">
        <v>337</v>
      </c>
      <c r="C175" s="878" t="s">
        <v>12</v>
      </c>
      <c r="D175" s="878"/>
      <c r="E175" s="641">
        <v>2</v>
      </c>
      <c r="F175" s="639">
        <v>32388</v>
      </c>
      <c r="G175" s="406">
        <f t="shared" si="35"/>
        <v>64776</v>
      </c>
      <c r="H175" s="641">
        <v>20</v>
      </c>
      <c r="I175" s="645">
        <v>0.4</v>
      </c>
      <c r="J175" s="406">
        <f t="shared" si="28"/>
        <v>25910.400000000001</v>
      </c>
      <c r="K175" s="407">
        <f t="shared" si="38"/>
        <v>1943.28</v>
      </c>
      <c r="L175" s="407">
        <f t="shared" si="29"/>
        <v>161.94</v>
      </c>
      <c r="M175" s="408">
        <f t="shared" si="30"/>
        <v>37.268352930120884</v>
      </c>
    </row>
    <row r="176" spans="1:13" ht="38.25" x14ac:dyDescent="0.25">
      <c r="A176" s="855"/>
      <c r="B176" s="405" t="s">
        <v>338</v>
      </c>
      <c r="C176" s="878" t="s">
        <v>12</v>
      </c>
      <c r="D176" s="878"/>
      <c r="E176" s="641">
        <v>1</v>
      </c>
      <c r="F176" s="639">
        <v>120059.67</v>
      </c>
      <c r="G176" s="406">
        <f t="shared" si="35"/>
        <v>120059.67</v>
      </c>
      <c r="H176" s="641">
        <v>20</v>
      </c>
      <c r="I176" s="645">
        <v>0.4</v>
      </c>
      <c r="J176" s="406">
        <f t="shared" si="28"/>
        <v>48023.868000000002</v>
      </c>
      <c r="K176" s="407">
        <f t="shared" si="38"/>
        <v>3601.7900999999997</v>
      </c>
      <c r="L176" s="407">
        <f t="shared" si="29"/>
        <v>300.14917499999996</v>
      </c>
      <c r="M176" s="408">
        <f t="shared" si="30"/>
        <v>69.075369801065918</v>
      </c>
    </row>
    <row r="177" spans="1:13" ht="38.25" x14ac:dyDescent="0.25">
      <c r="A177" s="855"/>
      <c r="B177" s="405" t="s">
        <v>1058</v>
      </c>
      <c r="C177" s="878" t="s">
        <v>12</v>
      </c>
      <c r="D177" s="878"/>
      <c r="E177" s="641">
        <v>1</v>
      </c>
      <c r="F177" s="639">
        <v>45922</v>
      </c>
      <c r="G177" s="406">
        <f>E177*F177</f>
        <v>45922</v>
      </c>
      <c r="H177" s="641">
        <v>20</v>
      </c>
      <c r="I177" s="645">
        <v>0.4</v>
      </c>
      <c r="J177" s="406">
        <f>G177*I177</f>
        <v>18368.8</v>
      </c>
      <c r="K177" s="407">
        <f t="shared" si="38"/>
        <v>1377.66</v>
      </c>
      <c r="L177" s="407">
        <f>K177/12</f>
        <v>114.80500000000001</v>
      </c>
      <c r="M177" s="408">
        <f>K177/52.1429</f>
        <v>26.420854996557541</v>
      </c>
    </row>
    <row r="178" spans="1:13" ht="38.25" x14ac:dyDescent="0.25">
      <c r="A178" s="855"/>
      <c r="B178" s="405" t="s">
        <v>708</v>
      </c>
      <c r="C178" s="878" t="s">
        <v>12</v>
      </c>
      <c r="D178" s="878"/>
      <c r="E178" s="641">
        <v>0</v>
      </c>
      <c r="F178" s="639">
        <v>0</v>
      </c>
      <c r="G178" s="406">
        <f>E178*F178</f>
        <v>0</v>
      </c>
      <c r="H178" s="641">
        <v>1</v>
      </c>
      <c r="I178" s="645">
        <v>0</v>
      </c>
      <c r="J178" s="406">
        <f>G178*I178</f>
        <v>0</v>
      </c>
      <c r="K178" s="407">
        <f t="shared" si="38"/>
        <v>0</v>
      </c>
      <c r="L178" s="407">
        <f>K178/12</f>
        <v>0</v>
      </c>
      <c r="M178" s="408">
        <f>K178/52.1429</f>
        <v>0</v>
      </c>
    </row>
    <row r="179" spans="1:13" ht="39" thickBot="1" x14ac:dyDescent="0.3">
      <c r="A179" s="856"/>
      <c r="B179" s="575" t="s">
        <v>709</v>
      </c>
      <c r="C179" s="903" t="s">
        <v>12</v>
      </c>
      <c r="D179" s="903"/>
      <c r="E179" s="647">
        <v>0</v>
      </c>
      <c r="F179" s="648">
        <v>0</v>
      </c>
      <c r="G179" s="576">
        <f t="shared" si="35"/>
        <v>0</v>
      </c>
      <c r="H179" s="647">
        <v>1</v>
      </c>
      <c r="I179" s="649">
        <v>0</v>
      </c>
      <c r="J179" s="576">
        <f>G179*I179</f>
        <v>0</v>
      </c>
      <c r="K179" s="416">
        <f t="shared" si="38"/>
        <v>0</v>
      </c>
      <c r="L179" s="416">
        <f>K179/12</f>
        <v>0</v>
      </c>
      <c r="M179" s="417">
        <f>K179/52.1429</f>
        <v>0</v>
      </c>
    </row>
  </sheetData>
  <sheetProtection algorithmName="SHA-512" hashValue="0vpHX1tPNKHGsrFAhGguDiNnzLsKTsSMvryVivfK5U/UKy8NcuYwJSj4zstevhsW9azVKnzxnJrTR/36BSIp8A==" saltValue="CYWcvKOnBw2/aNuZhVVzXA==" spinCount="100000" sheet="1"/>
  <autoFilter ref="B27:M179" xr:uid="{43DC9FEA-6B63-4E0A-9287-4F43CD11A94A}">
    <filterColumn colId="1" showButton="0"/>
  </autoFilter>
  <mergeCells count="169">
    <mergeCell ref="C31:D31"/>
    <mergeCell ref="C32:D32"/>
    <mergeCell ref="C33:D33"/>
    <mergeCell ref="C34:D34"/>
    <mergeCell ref="C39:D39"/>
    <mergeCell ref="O1:S1"/>
    <mergeCell ref="C27:D27"/>
    <mergeCell ref="C29:D29"/>
    <mergeCell ref="C30:D30"/>
    <mergeCell ref="C35:D35"/>
    <mergeCell ref="C36:D36"/>
    <mergeCell ref="C37:D37"/>
    <mergeCell ref="B1:M1"/>
    <mergeCell ref="C24:D24"/>
    <mergeCell ref="C25:D25"/>
    <mergeCell ref="C23:D23"/>
    <mergeCell ref="C45:D45"/>
    <mergeCell ref="C46:D46"/>
    <mergeCell ref="C47:D47"/>
    <mergeCell ref="C48:D48"/>
    <mergeCell ref="C49:D49"/>
    <mergeCell ref="C40:D40"/>
    <mergeCell ref="C41:D41"/>
    <mergeCell ref="C42:D42"/>
    <mergeCell ref="C43:D43"/>
    <mergeCell ref="C44:D44"/>
    <mergeCell ref="C59:D59"/>
    <mergeCell ref="C60:D60"/>
    <mergeCell ref="C61:D61"/>
    <mergeCell ref="C62:D62"/>
    <mergeCell ref="C67:D67"/>
    <mergeCell ref="C50:D50"/>
    <mergeCell ref="C51:D51"/>
    <mergeCell ref="C52:D52"/>
    <mergeCell ref="C57:D57"/>
    <mergeCell ref="C58:D58"/>
    <mergeCell ref="C53:D53"/>
    <mergeCell ref="C54:D54"/>
    <mergeCell ref="C55:D55"/>
    <mergeCell ref="C63:D63"/>
    <mergeCell ref="C64:D64"/>
    <mergeCell ref="C65:D65"/>
    <mergeCell ref="C78:D78"/>
    <mergeCell ref="C79:D79"/>
    <mergeCell ref="C80:D80"/>
    <mergeCell ref="C81:D81"/>
    <mergeCell ref="C68:D68"/>
    <mergeCell ref="C69:D69"/>
    <mergeCell ref="C70:D70"/>
    <mergeCell ref="C71:D71"/>
    <mergeCell ref="C72:D72"/>
    <mergeCell ref="B77:M77"/>
    <mergeCell ref="C73:D73"/>
    <mergeCell ref="C74:D74"/>
    <mergeCell ref="C75:D75"/>
    <mergeCell ref="C91:D91"/>
    <mergeCell ref="C92:D92"/>
    <mergeCell ref="C93:D93"/>
    <mergeCell ref="C94:D94"/>
    <mergeCell ref="C95:D95"/>
    <mergeCell ref="C82:D82"/>
    <mergeCell ref="C83:D83"/>
    <mergeCell ref="C84:D84"/>
    <mergeCell ref="C85:D85"/>
    <mergeCell ref="C90:D90"/>
    <mergeCell ref="B89:M89"/>
    <mergeCell ref="C86:D86"/>
    <mergeCell ref="C87:D87"/>
    <mergeCell ref="C88:D88"/>
    <mergeCell ref="C105:D105"/>
    <mergeCell ref="C106:D106"/>
    <mergeCell ref="C107:D107"/>
    <mergeCell ref="C108:D108"/>
    <mergeCell ref="C109:D109"/>
    <mergeCell ref="C96:D96"/>
    <mergeCell ref="C97:D97"/>
    <mergeCell ref="C102:D102"/>
    <mergeCell ref="C103:D103"/>
    <mergeCell ref="C104:D104"/>
    <mergeCell ref="C98:D98"/>
    <mergeCell ref="C99:D99"/>
    <mergeCell ref="C100:D100"/>
    <mergeCell ref="C139:D139"/>
    <mergeCell ref="C149:D149"/>
    <mergeCell ref="C150:D150"/>
    <mergeCell ref="C145:D145"/>
    <mergeCell ref="C146:D146"/>
    <mergeCell ref="C147:D147"/>
    <mergeCell ref="C148:D148"/>
    <mergeCell ref="C130:D130"/>
    <mergeCell ref="C131:D131"/>
    <mergeCell ref="C132:D132"/>
    <mergeCell ref="C115:D115"/>
    <mergeCell ref="C116:D116"/>
    <mergeCell ref="C117:D117"/>
    <mergeCell ref="C118:D118"/>
    <mergeCell ref="C123:D123"/>
    <mergeCell ref="C110:D110"/>
    <mergeCell ref="C111:D111"/>
    <mergeCell ref="C112:D112"/>
    <mergeCell ref="C113:D113"/>
    <mergeCell ref="C114:D114"/>
    <mergeCell ref="C119:D119"/>
    <mergeCell ref="C120:D120"/>
    <mergeCell ref="C121:D121"/>
    <mergeCell ref="C178:D178"/>
    <mergeCell ref="C179:D179"/>
    <mergeCell ref="C169:D169"/>
    <mergeCell ref="C170:D170"/>
    <mergeCell ref="C171:D171"/>
    <mergeCell ref="C162:D162"/>
    <mergeCell ref="C163:D163"/>
    <mergeCell ref="C164:D164"/>
    <mergeCell ref="C174:D174"/>
    <mergeCell ref="C175:D175"/>
    <mergeCell ref="C176:D176"/>
    <mergeCell ref="C166:D166"/>
    <mergeCell ref="C167:D167"/>
    <mergeCell ref="C168:D168"/>
    <mergeCell ref="C177:D177"/>
    <mergeCell ref="C172:D172"/>
    <mergeCell ref="C157:D157"/>
    <mergeCell ref="C158:D158"/>
    <mergeCell ref="C159:D159"/>
    <mergeCell ref="C155:D155"/>
    <mergeCell ref="B154:M154"/>
    <mergeCell ref="B165:M165"/>
    <mergeCell ref="B173:M173"/>
    <mergeCell ref="C124:D124"/>
    <mergeCell ref="C125:D125"/>
    <mergeCell ref="C126:D126"/>
    <mergeCell ref="C127:D127"/>
    <mergeCell ref="C134:D134"/>
    <mergeCell ref="C128:D128"/>
    <mergeCell ref="C129:D129"/>
    <mergeCell ref="C140:D140"/>
    <mergeCell ref="C141:D141"/>
    <mergeCell ref="C142:D142"/>
    <mergeCell ref="B143:M143"/>
    <mergeCell ref="C152:D152"/>
    <mergeCell ref="C153:D153"/>
    <mergeCell ref="C160:D160"/>
    <mergeCell ref="C161:D161"/>
    <mergeCell ref="C156:D156"/>
    <mergeCell ref="C151:D151"/>
    <mergeCell ref="A143:A179"/>
    <mergeCell ref="A133:A142"/>
    <mergeCell ref="A122:A132"/>
    <mergeCell ref="A101:A121"/>
    <mergeCell ref="A38:A100"/>
    <mergeCell ref="A28:A37"/>
    <mergeCell ref="A3:A21"/>
    <mergeCell ref="A22:A25"/>
    <mergeCell ref="C135:D135"/>
    <mergeCell ref="C136:D136"/>
    <mergeCell ref="C137:D137"/>
    <mergeCell ref="C138:D138"/>
    <mergeCell ref="C144:D144"/>
    <mergeCell ref="B3:M3"/>
    <mergeCell ref="B22:M22"/>
    <mergeCell ref="B26:M26"/>
    <mergeCell ref="B28:M28"/>
    <mergeCell ref="B38:M38"/>
    <mergeCell ref="B56:M56"/>
    <mergeCell ref="B66:M66"/>
    <mergeCell ref="B76:M76"/>
    <mergeCell ref="B101:M101"/>
    <mergeCell ref="B122:M122"/>
    <mergeCell ref="B133:M133"/>
  </mergeCells>
  <pageMargins left="0.511811024" right="0.511811024" top="0.78740157499999996" bottom="0.78740157499999996" header="0.31496062000000002" footer="0.31496062000000002"/>
  <pageSetup paperSize="9" orientation="portrait" r:id="rId1"/>
  <ignoredErrors>
    <ignoredError sqref="K30:M34 K39:M52 M29" evalError="1"/>
    <ignoredError sqref="F61" formula="1"/>
  </ignoredErrors>
  <drawing r:id="rId2"/>
  <legacyDrawing r:id="rId3"/>
  <tableParts count="1">
    <tablePart r:id="rId4"/>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B72C6-CF52-4800-BE6C-8BE4E2CA371D}">
  <sheetPr codeName="Planilha6">
    <tabColor rgb="FF642E33"/>
  </sheetPr>
  <dimension ref="A1:J379"/>
  <sheetViews>
    <sheetView topLeftCell="A349" zoomScale="39" zoomScaleNormal="39" workbookViewId="0">
      <selection activeCell="G354" sqref="G354"/>
    </sheetView>
  </sheetViews>
  <sheetFormatPr defaultRowHeight="31.5" x14ac:dyDescent="0.25"/>
  <cols>
    <col min="1" max="1" width="9.140625" style="278" customWidth="1"/>
    <col min="2" max="2" width="9.140625" style="5" customWidth="1"/>
    <col min="3" max="3" width="68.7109375" style="5" bestFit="1" customWidth="1"/>
    <col min="4" max="4" width="59.5703125" style="5" customWidth="1"/>
    <col min="5" max="5" width="48.140625" style="5" bestFit="1" customWidth="1"/>
    <col min="6" max="6" width="56.28515625" style="49" customWidth="1"/>
    <col min="7" max="7" width="57.85546875" style="5" customWidth="1"/>
    <col min="8" max="8" width="63.5703125" style="5" customWidth="1"/>
    <col min="9" max="9" width="67.5703125" style="5" customWidth="1"/>
    <col min="10" max="10" width="9.140625" style="5"/>
    <col min="11" max="11" width="27.85546875" style="5" bestFit="1" customWidth="1"/>
    <col min="12" max="16384" width="9.140625" style="5"/>
  </cols>
  <sheetData>
    <row r="1" spans="1:10" ht="32.25" thickBot="1" x14ac:dyDescent="0.3"/>
    <row r="2" spans="1:10" ht="38.25" thickBot="1" x14ac:dyDescent="0.3">
      <c r="B2" s="924" t="s">
        <v>111</v>
      </c>
      <c r="C2" s="925"/>
      <c r="D2" s="925"/>
      <c r="E2" s="925"/>
      <c r="F2" s="925"/>
      <c r="G2" s="925"/>
      <c r="H2" s="925"/>
      <c r="I2" s="925"/>
      <c r="J2" s="926"/>
    </row>
    <row r="3" spans="1:10" ht="32.25" thickBot="1" x14ac:dyDescent="0.3">
      <c r="A3" s="975" t="s">
        <v>102</v>
      </c>
      <c r="B3" s="50"/>
      <c r="C3" s="51"/>
      <c r="D3" s="51"/>
      <c r="E3" s="51"/>
      <c r="F3" s="52"/>
      <c r="G3" s="51"/>
      <c r="H3" s="51"/>
      <c r="I3" s="51"/>
      <c r="J3" s="53"/>
    </row>
    <row r="4" spans="1:10" ht="32.25" thickBot="1" x14ac:dyDescent="0.3">
      <c r="A4" s="975"/>
      <c r="B4" s="50"/>
      <c r="C4" s="828" t="s">
        <v>29</v>
      </c>
      <c r="D4" s="835"/>
      <c r="E4" s="835"/>
      <c r="F4" s="835"/>
      <c r="G4" s="835"/>
      <c r="H4" s="835"/>
      <c r="I4" s="829"/>
      <c r="J4" s="53"/>
    </row>
    <row r="5" spans="1:10" ht="32.25" thickBot="1" x14ac:dyDescent="0.3">
      <c r="A5" s="975"/>
      <c r="B5" s="50"/>
      <c r="C5" s="51"/>
      <c r="D5" s="51"/>
      <c r="E5" s="51"/>
      <c r="F5" s="52"/>
      <c r="G5" s="51"/>
      <c r="H5" s="51"/>
      <c r="I5" s="51"/>
      <c r="J5" s="53"/>
    </row>
    <row r="6" spans="1:10" ht="102" customHeight="1" x14ac:dyDescent="0.25">
      <c r="A6" s="975"/>
      <c r="B6" s="50"/>
      <c r="C6" s="54" t="s">
        <v>30</v>
      </c>
      <c r="D6" s="55" t="s">
        <v>31</v>
      </c>
      <c r="E6" s="55" t="s">
        <v>32</v>
      </c>
      <c r="F6" s="56" t="s">
        <v>640</v>
      </c>
      <c r="G6" s="55" t="s">
        <v>33</v>
      </c>
      <c r="H6" s="55" t="s">
        <v>34</v>
      </c>
      <c r="I6" s="57" t="s">
        <v>35</v>
      </c>
      <c r="J6" s="53"/>
    </row>
    <row r="7" spans="1:10" x14ac:dyDescent="0.25">
      <c r="A7" s="975"/>
      <c r="B7" s="50"/>
      <c r="C7" s="58" t="s">
        <v>36</v>
      </c>
      <c r="D7" s="59"/>
      <c r="E7" s="59"/>
      <c r="F7" s="60"/>
      <c r="G7" s="59"/>
      <c r="H7" s="61"/>
      <c r="I7" s="61"/>
      <c r="J7" s="53"/>
    </row>
    <row r="8" spans="1:10" x14ac:dyDescent="0.25">
      <c r="A8" s="975"/>
      <c r="B8" s="50"/>
      <c r="C8" s="62" t="s">
        <v>37</v>
      </c>
      <c r="D8" s="650">
        <v>66</v>
      </c>
      <c r="E8" s="651">
        <v>2.5</v>
      </c>
      <c r="F8" s="652">
        <v>2.06</v>
      </c>
      <c r="G8" s="63">
        <f>D8*E8</f>
        <v>165</v>
      </c>
      <c r="H8" s="64">
        <f>((('Plantel produtivo'!$D$9*'Plantel produtivo'!$D$26/(365/7)))*(1+100%-'Plantel produtivo'!$D$46))</f>
        <v>15.026219178082192</v>
      </c>
      <c r="I8" s="65">
        <f>G8*('Plantel produtivo'!D9*'Plantel produtivo'!D26*(1+100%-'Plantel produtivo'!D46)/(365/7))</f>
        <v>2479.3261643835622</v>
      </c>
      <c r="J8" s="53"/>
    </row>
    <row r="9" spans="1:10" x14ac:dyDescent="0.25">
      <c r="A9" s="975"/>
      <c r="B9" s="50"/>
      <c r="C9" s="66" t="s">
        <v>38</v>
      </c>
      <c r="D9" s="653">
        <v>14</v>
      </c>
      <c r="E9" s="654">
        <v>3.5</v>
      </c>
      <c r="F9" s="655">
        <f>F8</f>
        <v>2.06</v>
      </c>
      <c r="G9" s="67">
        <f>D9*E9</f>
        <v>49</v>
      </c>
      <c r="H9" s="68">
        <f>((('Plantel produtivo'!$D$9*'Plantel produtivo'!$D$26/(365/7)))*(1+100%-'Plantel produtivo'!$D$46))</f>
        <v>15.026219178082192</v>
      </c>
      <c r="I9" s="79">
        <f>(G9*(Tabela2[[#This Row],[Valor real da granja ]]*'Plantel produtivo'!D26)/(365/7))</f>
        <v>674.2534246575342</v>
      </c>
      <c r="J9" s="53"/>
    </row>
    <row r="10" spans="1:10" ht="32.25" thickBot="1" x14ac:dyDescent="0.3">
      <c r="A10" s="975"/>
      <c r="B10" s="50"/>
      <c r="C10" s="51"/>
      <c r="D10" s="51"/>
      <c r="E10" s="51"/>
      <c r="F10" s="52"/>
      <c r="G10" s="51"/>
      <c r="H10" s="51"/>
      <c r="I10" s="51"/>
      <c r="J10" s="53"/>
    </row>
    <row r="11" spans="1:10" ht="32.25" thickBot="1" x14ac:dyDescent="0.3">
      <c r="A11" s="975"/>
      <c r="B11" s="50"/>
      <c r="C11" s="51"/>
      <c r="D11" s="828" t="s">
        <v>101</v>
      </c>
      <c r="E11" s="835"/>
      <c r="F11" s="835"/>
      <c r="G11" s="835"/>
      <c r="H11" s="829"/>
      <c r="I11" s="51"/>
      <c r="J11" s="53"/>
    </row>
    <row r="12" spans="1:10" ht="32.25" thickBot="1" x14ac:dyDescent="0.3">
      <c r="A12" s="975"/>
      <c r="B12" s="50"/>
      <c r="C12" s="51"/>
      <c r="D12" s="51"/>
      <c r="E12" s="69"/>
      <c r="F12" s="52"/>
      <c r="G12" s="51"/>
      <c r="H12" s="51"/>
      <c r="I12" s="51"/>
      <c r="J12" s="53"/>
    </row>
    <row r="13" spans="1:10" ht="114.75" customHeight="1" x14ac:dyDescent="0.25">
      <c r="A13" s="975"/>
      <c r="B13" s="50"/>
      <c r="C13" s="51"/>
      <c r="D13" s="54" t="s">
        <v>50</v>
      </c>
      <c r="E13" s="55" t="s">
        <v>51</v>
      </c>
      <c r="F13" s="56" t="s">
        <v>639</v>
      </c>
      <c r="G13" s="55" t="s">
        <v>92</v>
      </c>
      <c r="H13" s="57" t="s">
        <v>52</v>
      </c>
      <c r="I13" s="51"/>
      <c r="J13" s="53"/>
    </row>
    <row r="14" spans="1:10" x14ac:dyDescent="0.25">
      <c r="A14" s="975"/>
      <c r="B14" s="50"/>
      <c r="C14" s="51"/>
      <c r="D14" s="70" t="s">
        <v>36</v>
      </c>
      <c r="E14" s="59"/>
      <c r="F14" s="60"/>
      <c r="G14" s="61"/>
      <c r="H14" s="71"/>
      <c r="I14" s="51"/>
      <c r="J14" s="53"/>
    </row>
    <row r="15" spans="1:10" ht="63" x14ac:dyDescent="0.25">
      <c r="A15" s="975"/>
      <c r="B15" s="50"/>
      <c r="C15" s="51"/>
      <c r="D15" s="72" t="s">
        <v>873</v>
      </c>
      <c r="E15" s="656">
        <v>2</v>
      </c>
      <c r="F15" s="652">
        <v>2.88</v>
      </c>
      <c r="G15" s="73">
        <f>E15</f>
        <v>2</v>
      </c>
      <c r="H15" s="296">
        <f>(E15*$H$8)</f>
        <v>30.052438356164384</v>
      </c>
      <c r="I15" s="51"/>
      <c r="J15" s="53"/>
    </row>
    <row r="16" spans="1:10" x14ac:dyDescent="0.25">
      <c r="A16" s="975"/>
      <c r="B16" s="50"/>
      <c r="C16" s="51"/>
      <c r="D16" s="72" t="s">
        <v>877</v>
      </c>
      <c r="E16" s="656">
        <v>1</v>
      </c>
      <c r="F16" s="652">
        <v>4.04</v>
      </c>
      <c r="G16" s="73">
        <f>E16</f>
        <v>1</v>
      </c>
      <c r="H16" s="296">
        <f>(E16*$H$8)</f>
        <v>15.026219178082192</v>
      </c>
      <c r="I16" s="51"/>
      <c r="J16" s="53"/>
    </row>
    <row r="17" spans="1:10" x14ac:dyDescent="0.25">
      <c r="A17" s="975"/>
      <c r="B17" s="50"/>
      <c r="C17" s="51"/>
      <c r="D17" s="77" t="s">
        <v>930</v>
      </c>
      <c r="E17" s="657">
        <v>1</v>
      </c>
      <c r="F17" s="655">
        <v>0</v>
      </c>
      <c r="G17" s="74">
        <f>E17</f>
        <v>1</v>
      </c>
      <c r="H17" s="306">
        <f>(E17*$H$8)</f>
        <v>15.026219178082192</v>
      </c>
      <c r="I17" s="51"/>
      <c r="J17" s="53"/>
    </row>
    <row r="18" spans="1:10" ht="32.25" thickBot="1" x14ac:dyDescent="0.3">
      <c r="A18" s="975"/>
      <c r="B18" s="50"/>
      <c r="C18" s="51"/>
      <c r="D18" s="51"/>
      <c r="E18" s="51"/>
      <c r="F18" s="52"/>
      <c r="G18" s="51"/>
      <c r="H18" s="51"/>
      <c r="I18" s="51"/>
      <c r="J18" s="53"/>
    </row>
    <row r="19" spans="1:10" ht="32.25" thickBot="1" x14ac:dyDescent="0.3">
      <c r="A19" s="975"/>
      <c r="B19" s="50"/>
      <c r="C19" s="51"/>
      <c r="D19" s="828" t="s">
        <v>107</v>
      </c>
      <c r="E19" s="835"/>
      <c r="F19" s="835"/>
      <c r="G19" s="835"/>
      <c r="H19" s="829"/>
      <c r="I19" s="51"/>
      <c r="J19" s="53"/>
    </row>
    <row r="20" spans="1:10" ht="32.25" thickBot="1" x14ac:dyDescent="0.3">
      <c r="A20" s="975"/>
      <c r="B20" s="50"/>
      <c r="C20" s="51"/>
      <c r="D20" s="51"/>
      <c r="E20" s="69"/>
      <c r="F20" s="52"/>
      <c r="G20" s="51"/>
      <c r="H20" s="51"/>
      <c r="I20" s="51"/>
      <c r="J20" s="53"/>
    </row>
    <row r="21" spans="1:10" ht="186" customHeight="1" x14ac:dyDescent="0.25">
      <c r="A21" s="975"/>
      <c r="B21" s="50"/>
      <c r="C21" s="51"/>
      <c r="D21" s="54" t="s">
        <v>50</v>
      </c>
      <c r="E21" s="55" t="s">
        <v>697</v>
      </c>
      <c r="F21" s="56" t="s">
        <v>639</v>
      </c>
      <c r="G21" s="55" t="s">
        <v>92</v>
      </c>
      <c r="H21" s="57" t="s">
        <v>52</v>
      </c>
      <c r="I21" s="51"/>
      <c r="J21" s="53"/>
    </row>
    <row r="22" spans="1:10" x14ac:dyDescent="0.25">
      <c r="A22" s="975"/>
      <c r="B22" s="50"/>
      <c r="C22" s="51"/>
      <c r="D22" s="70" t="s">
        <v>36</v>
      </c>
      <c r="E22" s="59"/>
      <c r="F22" s="60"/>
      <c r="G22" s="75"/>
      <c r="H22" s="71"/>
      <c r="I22" s="51"/>
      <c r="J22" s="53"/>
    </row>
    <row r="23" spans="1:10" x14ac:dyDescent="0.25">
      <c r="A23" s="975"/>
      <c r="B23" s="50"/>
      <c r="C23" s="51"/>
      <c r="D23" s="72" t="s">
        <v>1059</v>
      </c>
      <c r="E23" s="656">
        <v>5</v>
      </c>
      <c r="F23" s="652">
        <v>1.21</v>
      </c>
      <c r="G23" s="76">
        <f>E23</f>
        <v>5</v>
      </c>
      <c r="H23" s="296">
        <f>(E23*$H$8)</f>
        <v>75.131095890410961</v>
      </c>
      <c r="I23" s="51"/>
      <c r="J23" s="53"/>
    </row>
    <row r="24" spans="1:10" x14ac:dyDescent="0.25">
      <c r="A24" s="975"/>
      <c r="B24" s="50"/>
      <c r="C24" s="51"/>
      <c r="D24" s="72" t="s">
        <v>109</v>
      </c>
      <c r="E24" s="656">
        <v>0</v>
      </c>
      <c r="F24" s="652">
        <v>0</v>
      </c>
      <c r="G24" s="76">
        <f>E24</f>
        <v>0</v>
      </c>
      <c r="H24" s="296">
        <f>(E24*$H$8)</f>
        <v>0</v>
      </c>
      <c r="I24" s="51"/>
      <c r="J24" s="53"/>
    </row>
    <row r="25" spans="1:10" x14ac:dyDescent="0.25">
      <c r="A25" s="975"/>
      <c r="B25" s="50"/>
      <c r="C25" s="51"/>
      <c r="D25" s="77" t="s">
        <v>110</v>
      </c>
      <c r="E25" s="657">
        <v>0</v>
      </c>
      <c r="F25" s="655">
        <v>0</v>
      </c>
      <c r="G25" s="78">
        <f>E25</f>
        <v>0</v>
      </c>
      <c r="H25" s="306">
        <f>(E25*$H$8)</f>
        <v>0</v>
      </c>
      <c r="I25" s="51"/>
      <c r="J25" s="53"/>
    </row>
    <row r="26" spans="1:10" ht="32.25" thickBot="1" x14ac:dyDescent="0.3">
      <c r="A26" s="975"/>
      <c r="B26" s="50"/>
      <c r="C26" s="51"/>
      <c r="D26" s="51"/>
      <c r="E26" s="51"/>
      <c r="F26" s="52"/>
      <c r="G26" s="51"/>
      <c r="H26" s="51"/>
      <c r="I26" s="51"/>
      <c r="J26" s="53"/>
    </row>
    <row r="27" spans="1:10" ht="32.25" thickBot="1" x14ac:dyDescent="0.3">
      <c r="A27" s="975"/>
      <c r="B27" s="50"/>
      <c r="C27" s="828" t="s">
        <v>71</v>
      </c>
      <c r="D27" s="835"/>
      <c r="E27" s="835"/>
      <c r="F27" s="835"/>
      <c r="G27" s="835"/>
      <c r="H27" s="835"/>
      <c r="I27" s="829"/>
      <c r="J27" s="53"/>
    </row>
    <row r="28" spans="1:10" ht="32.25" thickBot="1" x14ac:dyDescent="0.3">
      <c r="A28" s="975"/>
      <c r="B28" s="50"/>
      <c r="C28" s="51"/>
      <c r="D28" s="51"/>
      <c r="E28" s="69"/>
      <c r="F28" s="52"/>
      <c r="G28" s="51"/>
      <c r="H28" s="51"/>
      <c r="I28" s="51"/>
      <c r="J28" s="53"/>
    </row>
    <row r="29" spans="1:10" ht="61.5" x14ac:dyDescent="0.25">
      <c r="A29" s="975"/>
      <c r="B29" s="50"/>
      <c r="C29" s="952" t="s">
        <v>72</v>
      </c>
      <c r="D29" s="953"/>
      <c r="E29" s="55" t="s">
        <v>73</v>
      </c>
      <c r="F29" s="56" t="s">
        <v>641</v>
      </c>
      <c r="G29" s="55" t="s">
        <v>74</v>
      </c>
      <c r="H29" s="80" t="s">
        <v>115</v>
      </c>
      <c r="I29" s="57" t="s">
        <v>75</v>
      </c>
      <c r="J29" s="53"/>
    </row>
    <row r="30" spans="1:10" x14ac:dyDescent="0.25">
      <c r="A30" s="975"/>
      <c r="B30" s="50"/>
      <c r="C30" s="922" t="s">
        <v>76</v>
      </c>
      <c r="D30" s="923"/>
      <c r="E30" s="59"/>
      <c r="F30" s="81"/>
      <c r="G30" s="59"/>
      <c r="H30" s="61"/>
      <c r="I30" s="61"/>
      <c r="J30" s="53"/>
    </row>
    <row r="31" spans="1:10" x14ac:dyDescent="0.25">
      <c r="A31" s="975"/>
      <c r="B31" s="50"/>
      <c r="C31" s="933" t="s">
        <v>379</v>
      </c>
      <c r="D31" s="934"/>
      <c r="E31" s="9" t="s">
        <v>77</v>
      </c>
      <c r="F31" s="658">
        <v>2386.75</v>
      </c>
      <c r="G31" s="656">
        <v>1</v>
      </c>
      <c r="H31" s="659">
        <v>8</v>
      </c>
      <c r="I31" s="82">
        <f>(G31*H31)*5.5</f>
        <v>44</v>
      </c>
      <c r="J31" s="53"/>
    </row>
    <row r="32" spans="1:10" x14ac:dyDescent="0.25">
      <c r="A32" s="975"/>
      <c r="B32" s="50"/>
      <c r="C32" s="933" t="s">
        <v>378</v>
      </c>
      <c r="D32" s="934"/>
      <c r="E32" s="9" t="s">
        <v>78</v>
      </c>
      <c r="F32" s="658">
        <v>1785.02</v>
      </c>
      <c r="G32" s="656">
        <v>2</v>
      </c>
      <c r="H32" s="659">
        <v>8</v>
      </c>
      <c r="I32" s="82">
        <f>(G32*H32)*5.5</f>
        <v>88</v>
      </c>
      <c r="J32" s="53"/>
    </row>
    <row r="33" spans="1:10" x14ac:dyDescent="0.25">
      <c r="A33" s="975"/>
      <c r="B33" s="50"/>
      <c r="C33" s="289" t="s">
        <v>730</v>
      </c>
      <c r="D33" s="290"/>
      <c r="E33" s="9"/>
      <c r="F33" s="658">
        <v>0</v>
      </c>
      <c r="G33" s="656">
        <v>0</v>
      </c>
      <c r="H33" s="659">
        <v>0</v>
      </c>
      <c r="I33" s="82">
        <f>(G33*H33)*5.5</f>
        <v>0</v>
      </c>
      <c r="J33" s="53"/>
    </row>
    <row r="34" spans="1:10" x14ac:dyDescent="0.25">
      <c r="A34" s="975"/>
      <c r="B34" s="50"/>
      <c r="C34" s="922" t="s">
        <v>80</v>
      </c>
      <c r="D34" s="923"/>
      <c r="E34" s="59"/>
      <c r="F34" s="315"/>
      <c r="G34" s="85"/>
      <c r="H34" s="86"/>
      <c r="I34" s="87"/>
      <c r="J34" s="53"/>
    </row>
    <row r="35" spans="1:10" x14ac:dyDescent="0.25">
      <c r="A35" s="975"/>
      <c r="B35" s="50"/>
      <c r="C35" s="946" t="s">
        <v>799</v>
      </c>
      <c r="D35" s="947"/>
      <c r="E35" s="89"/>
      <c r="F35" s="660">
        <v>0</v>
      </c>
      <c r="G35" s="657">
        <v>0</v>
      </c>
      <c r="H35" s="661">
        <v>0</v>
      </c>
      <c r="I35" s="514">
        <f>(G35*H35)/4</f>
        <v>0</v>
      </c>
      <c r="J35" s="53"/>
    </row>
    <row r="36" spans="1:10" ht="32.25" thickBot="1" x14ac:dyDescent="0.3">
      <c r="A36" s="975"/>
      <c r="B36" s="50"/>
      <c r="C36" s="51"/>
      <c r="D36" s="51"/>
      <c r="E36" s="51"/>
      <c r="F36" s="52"/>
      <c r="G36" s="51"/>
      <c r="H36" s="51"/>
      <c r="I36" s="51"/>
      <c r="J36" s="53"/>
    </row>
    <row r="37" spans="1:10" ht="32.25" thickBot="1" x14ac:dyDescent="0.3">
      <c r="A37" s="975"/>
      <c r="B37" s="50"/>
      <c r="C37" s="51"/>
      <c r="D37" s="828" t="s">
        <v>917</v>
      </c>
      <c r="E37" s="835"/>
      <c r="F37" s="835"/>
      <c r="G37" s="835"/>
      <c r="H37" s="829"/>
      <c r="I37" s="51"/>
      <c r="J37" s="53"/>
    </row>
    <row r="38" spans="1:10" ht="32.25" thickBot="1" x14ac:dyDescent="0.3">
      <c r="A38" s="975"/>
      <c r="B38" s="50"/>
      <c r="C38" s="51"/>
      <c r="D38" s="51"/>
      <c r="E38" s="51"/>
      <c r="F38" s="52"/>
      <c r="G38" s="69"/>
      <c r="H38" s="51"/>
      <c r="I38" s="51"/>
      <c r="J38" s="53"/>
    </row>
    <row r="39" spans="1:10" ht="62.25" thickBot="1" x14ac:dyDescent="0.3">
      <c r="A39" s="975"/>
      <c r="B39" s="50"/>
      <c r="C39" s="51"/>
      <c r="D39" s="90" t="s">
        <v>11</v>
      </c>
      <c r="E39" s="91"/>
      <c r="F39" s="56" t="s">
        <v>642</v>
      </c>
      <c r="G39" s="55" t="s">
        <v>13</v>
      </c>
      <c r="H39" s="57" t="s">
        <v>81</v>
      </c>
      <c r="I39" s="51"/>
      <c r="J39" s="53"/>
    </row>
    <row r="40" spans="1:10" ht="31.5" customHeight="1" x14ac:dyDescent="0.2">
      <c r="A40" s="975"/>
      <c r="B40" s="50"/>
      <c r="C40" s="51"/>
      <c r="D40" s="972" t="s">
        <v>1047</v>
      </c>
      <c r="E40" s="973"/>
      <c r="F40" s="662">
        <v>45.43</v>
      </c>
      <c r="G40" s="663">
        <v>2</v>
      </c>
      <c r="H40" s="603" t="s">
        <v>918</v>
      </c>
      <c r="I40" s="51"/>
      <c r="J40" s="53"/>
    </row>
    <row r="41" spans="1:10" ht="63" customHeight="1" x14ac:dyDescent="0.2">
      <c r="A41" s="975"/>
      <c r="B41" s="50"/>
      <c r="C41" s="51"/>
      <c r="D41" s="935" t="s">
        <v>1048</v>
      </c>
      <c r="E41" s="936"/>
      <c r="F41" s="658">
        <v>45.43</v>
      </c>
      <c r="G41" s="664">
        <v>1</v>
      </c>
      <c r="H41" s="603" t="s">
        <v>918</v>
      </c>
      <c r="I41" s="51"/>
      <c r="J41" s="53"/>
    </row>
    <row r="42" spans="1:10" ht="31.5" customHeight="1" x14ac:dyDescent="0.2">
      <c r="A42" s="975"/>
      <c r="B42" s="50"/>
      <c r="C42" s="51"/>
      <c r="D42" s="935" t="s">
        <v>1072</v>
      </c>
      <c r="E42" s="936"/>
      <c r="F42" s="658">
        <v>0.19</v>
      </c>
      <c r="G42" s="665">
        <f>(H23+H16+H15)*4</f>
        <v>480.83901369863014</v>
      </c>
      <c r="H42" s="603" t="s">
        <v>1074</v>
      </c>
      <c r="I42" s="51"/>
      <c r="J42" s="53"/>
    </row>
    <row r="43" spans="1:10" ht="63" customHeight="1" x14ac:dyDescent="0.2">
      <c r="A43" s="975"/>
      <c r="B43" s="50"/>
      <c r="C43" s="51"/>
      <c r="D43" s="935" t="s">
        <v>1073</v>
      </c>
      <c r="E43" s="936"/>
      <c r="F43" s="658">
        <v>0.72</v>
      </c>
      <c r="G43" s="665">
        <f>G42/4</f>
        <v>120.20975342465753</v>
      </c>
      <c r="H43" s="603" t="s">
        <v>1074</v>
      </c>
      <c r="I43" s="51"/>
      <c r="J43" s="53"/>
    </row>
    <row r="44" spans="1:10" x14ac:dyDescent="0.25">
      <c r="A44" s="975"/>
      <c r="B44" s="50"/>
      <c r="C44" s="51"/>
      <c r="D44" s="597" t="s">
        <v>992</v>
      </c>
      <c r="E44" s="598"/>
      <c r="F44" s="658">
        <v>13.28</v>
      </c>
      <c r="G44" s="664">
        <v>4</v>
      </c>
      <c r="H44" s="603" t="s">
        <v>1074</v>
      </c>
      <c r="I44" s="51"/>
      <c r="J44" s="53"/>
    </row>
    <row r="45" spans="1:10" x14ac:dyDescent="0.25">
      <c r="A45" s="975"/>
      <c r="B45" s="50"/>
      <c r="C45" s="51"/>
      <c r="D45" s="597" t="s">
        <v>1026</v>
      </c>
      <c r="E45" s="598"/>
      <c r="F45" s="658">
        <v>3.44</v>
      </c>
      <c r="G45" s="664">
        <v>8</v>
      </c>
      <c r="H45" s="603" t="s">
        <v>1074</v>
      </c>
      <c r="I45" s="51"/>
      <c r="J45" s="53"/>
    </row>
    <row r="46" spans="1:10" x14ac:dyDescent="0.25">
      <c r="A46" s="975"/>
      <c r="B46" s="50"/>
      <c r="C46" s="51"/>
      <c r="D46" s="597" t="s">
        <v>1027</v>
      </c>
      <c r="E46" s="599"/>
      <c r="F46" s="658">
        <v>24.3</v>
      </c>
      <c r="G46" s="664">
        <v>4</v>
      </c>
      <c r="H46" s="603" t="s">
        <v>1074</v>
      </c>
      <c r="I46" s="51"/>
      <c r="J46" s="53"/>
    </row>
    <row r="47" spans="1:10" x14ac:dyDescent="0.25">
      <c r="A47" s="975"/>
      <c r="B47" s="50"/>
      <c r="C47" s="51"/>
      <c r="D47" s="600" t="s">
        <v>1068</v>
      </c>
      <c r="E47" s="599"/>
      <c r="F47" s="658">
        <v>34</v>
      </c>
      <c r="G47" s="664">
        <v>1</v>
      </c>
      <c r="H47" s="603" t="s">
        <v>1074</v>
      </c>
      <c r="I47" s="51"/>
      <c r="J47" s="53"/>
    </row>
    <row r="48" spans="1:10" x14ac:dyDescent="0.25">
      <c r="A48" s="975"/>
      <c r="B48" s="50"/>
      <c r="C48" s="51"/>
      <c r="D48" s="600" t="s">
        <v>93</v>
      </c>
      <c r="E48" s="599"/>
      <c r="F48" s="658">
        <v>0</v>
      </c>
      <c r="G48" s="664">
        <v>0</v>
      </c>
      <c r="H48" s="603"/>
      <c r="I48" s="51"/>
      <c r="J48" s="53"/>
    </row>
    <row r="49" spans="1:10" x14ac:dyDescent="0.25">
      <c r="A49" s="975"/>
      <c r="B49" s="50"/>
      <c r="C49" s="51"/>
      <c r="D49" s="600" t="s">
        <v>93</v>
      </c>
      <c r="E49" s="599"/>
      <c r="F49" s="658">
        <v>0</v>
      </c>
      <c r="G49" s="664">
        <v>0</v>
      </c>
      <c r="H49" s="603"/>
      <c r="I49" s="51"/>
      <c r="J49" s="53"/>
    </row>
    <row r="50" spans="1:10" x14ac:dyDescent="0.25">
      <c r="A50" s="975"/>
      <c r="B50" s="50"/>
      <c r="C50" s="51"/>
      <c r="D50" s="601" t="s">
        <v>93</v>
      </c>
      <c r="E50" s="602"/>
      <c r="F50" s="660">
        <v>0</v>
      </c>
      <c r="G50" s="666">
        <v>0</v>
      </c>
      <c r="H50" s="604"/>
      <c r="I50" s="51"/>
      <c r="J50" s="53"/>
    </row>
    <row r="51" spans="1:10" ht="32.25" thickBot="1" x14ac:dyDescent="0.3">
      <c r="A51" s="975"/>
      <c r="B51" s="50"/>
      <c r="C51" s="51"/>
      <c r="D51" s="51"/>
      <c r="E51" s="51"/>
      <c r="F51" s="52"/>
      <c r="G51" s="51"/>
      <c r="H51" s="51"/>
      <c r="I51" s="51"/>
      <c r="J51" s="53"/>
    </row>
    <row r="52" spans="1:10" ht="32.25" thickBot="1" x14ac:dyDescent="0.3">
      <c r="A52" s="279"/>
      <c r="B52" s="937" t="s">
        <v>924</v>
      </c>
      <c r="C52" s="938"/>
      <c r="D52" s="938"/>
      <c r="E52" s="938"/>
      <c r="F52" s="938"/>
      <c r="G52" s="939"/>
      <c r="H52" s="940">
        <f>(SUM('Custo de produção por lotes'!L10:M10,'Custo de produção por lotes'!L61:M61,'Custo de produção por lotes'!L169:M169)/H8)</f>
        <v>456.24301365569937</v>
      </c>
      <c r="I52" s="941"/>
      <c r="J52" s="942"/>
    </row>
    <row r="53" spans="1:10" ht="32.25" thickBot="1" x14ac:dyDescent="0.3"/>
    <row r="54" spans="1:10" ht="38.25" thickBot="1" x14ac:dyDescent="0.3">
      <c r="B54" s="924" t="s">
        <v>114</v>
      </c>
      <c r="C54" s="925"/>
      <c r="D54" s="925"/>
      <c r="E54" s="925"/>
      <c r="F54" s="925"/>
      <c r="G54" s="925"/>
      <c r="H54" s="925"/>
      <c r="I54" s="925"/>
      <c r="J54" s="926"/>
    </row>
    <row r="55" spans="1:10" ht="32.25" thickBot="1" x14ac:dyDescent="0.3">
      <c r="A55" s="976" t="s">
        <v>271</v>
      </c>
      <c r="B55" s="94"/>
      <c r="C55" s="10"/>
      <c r="D55" s="10"/>
      <c r="E55" s="10"/>
      <c r="F55" s="95"/>
      <c r="G55" s="10"/>
      <c r="H55" s="10"/>
      <c r="I55" s="10"/>
      <c r="J55" s="96"/>
    </row>
    <row r="56" spans="1:10" ht="32.25" thickBot="1" x14ac:dyDescent="0.3">
      <c r="A56" s="976"/>
      <c r="B56" s="94"/>
      <c r="C56" s="828" t="s">
        <v>29</v>
      </c>
      <c r="D56" s="835"/>
      <c r="E56" s="835"/>
      <c r="F56" s="835"/>
      <c r="G56" s="835"/>
      <c r="H56" s="835"/>
      <c r="I56" s="829"/>
      <c r="J56" s="96"/>
    </row>
    <row r="57" spans="1:10" ht="32.25" thickBot="1" x14ac:dyDescent="0.3">
      <c r="A57" s="976"/>
      <c r="B57" s="94"/>
      <c r="C57" s="10"/>
      <c r="D57" s="10"/>
      <c r="E57" s="10"/>
      <c r="F57" s="95"/>
      <c r="G57" s="10"/>
      <c r="H57" s="10"/>
      <c r="I57" s="10"/>
      <c r="J57" s="96"/>
    </row>
    <row r="58" spans="1:10" ht="140.25" customHeight="1" thickBot="1" x14ac:dyDescent="0.3">
      <c r="A58" s="976"/>
      <c r="B58" s="94"/>
      <c r="C58" s="97" t="s">
        <v>30</v>
      </c>
      <c r="D58" s="98" t="s">
        <v>31</v>
      </c>
      <c r="E58" s="98" t="s">
        <v>32</v>
      </c>
      <c r="F58" s="99" t="s">
        <v>640</v>
      </c>
      <c r="G58" s="98" t="s">
        <v>33</v>
      </c>
      <c r="H58" s="98" t="s">
        <v>34</v>
      </c>
      <c r="I58" s="13" t="s">
        <v>35</v>
      </c>
      <c r="J58" s="96"/>
    </row>
    <row r="59" spans="1:10" x14ac:dyDescent="0.25">
      <c r="A59" s="976"/>
      <c r="B59" s="94"/>
      <c r="C59" s="100" t="s">
        <v>39</v>
      </c>
      <c r="D59" s="9"/>
      <c r="E59" s="9"/>
      <c r="F59" s="101"/>
      <c r="G59" s="9"/>
      <c r="H59" s="73"/>
      <c r="I59" s="73"/>
      <c r="J59" s="96"/>
    </row>
    <row r="60" spans="1:10" x14ac:dyDescent="0.25">
      <c r="A60" s="976"/>
      <c r="B60" s="94"/>
      <c r="C60" s="62" t="s">
        <v>40</v>
      </c>
      <c r="D60" s="650">
        <v>22</v>
      </c>
      <c r="E60" s="651">
        <v>2.2000000000000002</v>
      </c>
      <c r="F60" s="652">
        <v>2.06</v>
      </c>
      <c r="G60" s="63">
        <f>D60*E60</f>
        <v>48.400000000000006</v>
      </c>
      <c r="H60" s="64">
        <f>(('Plantel produtivo'!D9*'Plantel produtivo'!D26)/(365/7)*(1+100%-'Plantel produtivo'!D46))</f>
        <v>15.026219178082192</v>
      </c>
      <c r="I60" s="65">
        <f>(G60*('Plantel produtivo'!$D$9*'Plantel produtivo'!$D$26)/(365/7))</f>
        <v>665.99726027397276</v>
      </c>
      <c r="J60" s="96"/>
    </row>
    <row r="61" spans="1:10" x14ac:dyDescent="0.25">
      <c r="A61" s="976"/>
      <c r="B61" s="94"/>
      <c r="C61" s="62" t="s">
        <v>41</v>
      </c>
      <c r="D61" s="650">
        <v>69</v>
      </c>
      <c r="E61" s="651">
        <v>2.5</v>
      </c>
      <c r="F61" s="652">
        <f>F60</f>
        <v>2.06</v>
      </c>
      <c r="G61" s="63">
        <f t="shared" ref="G61:G71" si="0">D61*E61</f>
        <v>172.5</v>
      </c>
      <c r="H61" s="64">
        <f>(H60-(H60*'Plantel produtivo'!D45))</f>
        <v>13.759508901369863</v>
      </c>
      <c r="I61" s="65">
        <f>(G61*('Plantel produtivo'!$D$9*'Plantel produtivo'!$D$26)/(365/7))</f>
        <v>2373.6472602739723</v>
      </c>
      <c r="J61" s="96"/>
    </row>
    <row r="62" spans="1:10" x14ac:dyDescent="0.25">
      <c r="A62" s="976"/>
      <c r="B62" s="94"/>
      <c r="C62" s="308" t="s">
        <v>42</v>
      </c>
      <c r="D62" s="653">
        <v>18</v>
      </c>
      <c r="E62" s="654">
        <v>2.5</v>
      </c>
      <c r="F62" s="655">
        <f>F60</f>
        <v>2.06</v>
      </c>
      <c r="G62" s="67">
        <f t="shared" si="0"/>
        <v>45</v>
      </c>
      <c r="H62" s="68">
        <f>(H61-(H61*'Plantel produtivo'!D47))</f>
        <v>13.5599960223</v>
      </c>
      <c r="I62" s="79">
        <f>(G62*('Plantel produtivo'!$D$9*'Plantel produtivo'!$D$26)/(365/7))</f>
        <v>619.21232876712327</v>
      </c>
      <c r="J62" s="96"/>
    </row>
    <row r="63" spans="1:10" x14ac:dyDescent="0.25">
      <c r="A63" s="976"/>
      <c r="B63" s="94"/>
      <c r="C63" s="100" t="s">
        <v>43</v>
      </c>
      <c r="D63" s="293"/>
      <c r="E63" s="102"/>
      <c r="F63" s="103"/>
      <c r="G63" s="63"/>
      <c r="H63" s="64"/>
      <c r="I63" s="104"/>
      <c r="J63" s="96"/>
    </row>
    <row r="64" spans="1:10" x14ac:dyDescent="0.25">
      <c r="A64" s="976"/>
      <c r="B64" s="94"/>
      <c r="C64" s="62" t="s">
        <v>44</v>
      </c>
      <c r="D64" s="650">
        <v>22</v>
      </c>
      <c r="E64" s="651">
        <v>2.2000000000000002</v>
      </c>
      <c r="F64" s="652">
        <f>F60</f>
        <v>2.06</v>
      </c>
      <c r="G64" s="63">
        <f t="shared" si="0"/>
        <v>48.400000000000006</v>
      </c>
      <c r="H64" s="64">
        <f>'Plantel produtivo'!D34-'Insumos e serviços'!H8</f>
        <v>72.07496587205452</v>
      </c>
      <c r="I64" s="65">
        <f>(G64*('Plantel produtivo'!$D$9*'Plantel produtivo'!$D$49)/(365/7))</f>
        <v>3860.528714676389</v>
      </c>
      <c r="J64" s="96"/>
    </row>
    <row r="65" spans="1:10" x14ac:dyDescent="0.25">
      <c r="A65" s="976"/>
      <c r="B65" s="94"/>
      <c r="C65" s="62" t="s">
        <v>45</v>
      </c>
      <c r="D65" s="650">
        <v>69</v>
      </c>
      <c r="E65" s="651">
        <v>2.5</v>
      </c>
      <c r="F65" s="652">
        <f>F64</f>
        <v>2.06</v>
      </c>
      <c r="G65" s="63">
        <f t="shared" si="0"/>
        <v>172.5</v>
      </c>
      <c r="H65" s="64">
        <f>H64-(H64*'Plantel produtivo'!D45)</f>
        <v>65.999046249040319</v>
      </c>
      <c r="I65" s="65">
        <f>(G65*('Plantel produtivo'!$D$9*'Plantel produtivo'!$D$49)/(365/7))</f>
        <v>13759.115770282586</v>
      </c>
      <c r="J65" s="96"/>
    </row>
    <row r="66" spans="1:10" x14ac:dyDescent="0.25">
      <c r="A66" s="976"/>
      <c r="B66" s="94"/>
      <c r="C66" s="66" t="s">
        <v>46</v>
      </c>
      <c r="D66" s="653">
        <v>18</v>
      </c>
      <c r="E66" s="654">
        <v>2.5</v>
      </c>
      <c r="F66" s="655">
        <f>F65</f>
        <v>2.06</v>
      </c>
      <c r="G66" s="67">
        <f t="shared" si="0"/>
        <v>45</v>
      </c>
      <c r="H66" s="68">
        <f>H65-(H65*'Plantel produtivo'!D47)</f>
        <v>65.04206007842923</v>
      </c>
      <c r="I66" s="79">
        <f>(G66*('Plantel produtivo'!$D$9*'Plantel produtivo'!$D$49)/(365/7))</f>
        <v>3589.33454876937</v>
      </c>
      <c r="J66" s="96"/>
    </row>
    <row r="67" spans="1:10" x14ac:dyDescent="0.25">
      <c r="A67" s="976"/>
      <c r="B67" s="94"/>
      <c r="C67" s="100" t="s">
        <v>28</v>
      </c>
      <c r="D67" s="293"/>
      <c r="E67" s="102"/>
      <c r="F67" s="103"/>
      <c r="G67" s="63"/>
      <c r="H67" s="64"/>
      <c r="I67" s="104"/>
      <c r="J67" s="96"/>
    </row>
    <row r="68" spans="1:10" x14ac:dyDescent="0.25">
      <c r="A68" s="976"/>
      <c r="B68" s="94"/>
      <c r="C68" s="62" t="s">
        <v>902</v>
      </c>
      <c r="D68" s="650">
        <v>365</v>
      </c>
      <c r="E68" s="651">
        <v>2.5</v>
      </c>
      <c r="F68" s="652">
        <f>F66</f>
        <v>2.06</v>
      </c>
      <c r="G68" s="63">
        <f t="shared" si="0"/>
        <v>912.5</v>
      </c>
      <c r="H68" s="64">
        <f>'Plantel produtivo'!I20</f>
        <v>11.783333333333333</v>
      </c>
      <c r="I68" s="65">
        <f>(G68*H68/(365/7))</f>
        <v>206.20833333333331</v>
      </c>
      <c r="J68" s="96"/>
    </row>
    <row r="69" spans="1:10" x14ac:dyDescent="0.25">
      <c r="A69" s="976"/>
      <c r="B69" s="94"/>
      <c r="C69" s="66" t="s">
        <v>48</v>
      </c>
      <c r="D69" s="653">
        <v>365</v>
      </c>
      <c r="E69" s="654">
        <v>0</v>
      </c>
      <c r="F69" s="655">
        <v>0</v>
      </c>
      <c r="G69" s="67">
        <f t="shared" si="0"/>
        <v>0</v>
      </c>
      <c r="H69" s="68">
        <f>H68</f>
        <v>11.783333333333333</v>
      </c>
      <c r="I69" s="79">
        <f>((G69*H69)/(365/7))</f>
        <v>0</v>
      </c>
      <c r="J69" s="96"/>
    </row>
    <row r="70" spans="1:10" x14ac:dyDescent="0.25">
      <c r="A70" s="976"/>
      <c r="B70" s="94"/>
      <c r="C70" s="292" t="s">
        <v>49</v>
      </c>
      <c r="D70" s="293"/>
      <c r="E70" s="102"/>
      <c r="F70" s="103"/>
      <c r="G70" s="63"/>
      <c r="H70" s="64"/>
      <c r="I70" s="104"/>
      <c r="J70" s="96"/>
    </row>
    <row r="71" spans="1:10" x14ac:dyDescent="0.25">
      <c r="A71" s="976"/>
      <c r="B71" s="94"/>
      <c r="C71" s="66" t="s">
        <v>47</v>
      </c>
      <c r="D71" s="653">
        <v>365</v>
      </c>
      <c r="E71" s="654">
        <v>2.5</v>
      </c>
      <c r="F71" s="655">
        <f>F68</f>
        <v>2.06</v>
      </c>
      <c r="G71" s="67">
        <f t="shared" si="0"/>
        <v>912.5</v>
      </c>
      <c r="H71" s="68">
        <f>'Plantel produtivo'!I21</f>
        <v>17.675000000000001</v>
      </c>
      <c r="I71" s="79">
        <f>((G71*H71)/(365/7))</f>
        <v>309.3125</v>
      </c>
      <c r="J71" s="96"/>
    </row>
    <row r="72" spans="1:10" ht="32.25" thickBot="1" x14ac:dyDescent="0.3">
      <c r="A72" s="976"/>
      <c r="B72" s="94"/>
      <c r="C72" s="10"/>
      <c r="D72" s="105"/>
      <c r="E72" s="11"/>
      <c r="F72" s="95"/>
      <c r="G72" s="11"/>
      <c r="H72" s="10"/>
      <c r="I72" s="10"/>
      <c r="J72" s="96"/>
    </row>
    <row r="73" spans="1:10" ht="32.25" thickBot="1" x14ac:dyDescent="0.3">
      <c r="A73" s="976"/>
      <c r="B73" s="94"/>
      <c r="C73" s="10"/>
      <c r="D73" s="828" t="s">
        <v>101</v>
      </c>
      <c r="E73" s="835"/>
      <c r="F73" s="835"/>
      <c r="G73" s="835"/>
      <c r="H73" s="829"/>
      <c r="I73" s="10"/>
      <c r="J73" s="96"/>
    </row>
    <row r="74" spans="1:10" ht="32.25" thickBot="1" x14ac:dyDescent="0.3">
      <c r="A74" s="976"/>
      <c r="B74" s="94"/>
      <c r="C74" s="10"/>
      <c r="D74" s="10"/>
      <c r="E74" s="10"/>
      <c r="F74" s="95"/>
      <c r="G74" s="10"/>
      <c r="H74" s="10"/>
      <c r="I74" s="10"/>
      <c r="J74" s="96"/>
    </row>
    <row r="75" spans="1:10" ht="61.5" x14ac:dyDescent="0.25">
      <c r="A75" s="976"/>
      <c r="B75" s="94"/>
      <c r="C75" s="10"/>
      <c r="D75" s="335" t="s">
        <v>50</v>
      </c>
      <c r="E75" s="336" t="s">
        <v>51</v>
      </c>
      <c r="F75" s="56" t="s">
        <v>639</v>
      </c>
      <c r="G75" s="336" t="s">
        <v>92</v>
      </c>
      <c r="H75" s="337" t="s">
        <v>52</v>
      </c>
      <c r="I75" s="11"/>
      <c r="J75" s="96"/>
    </row>
    <row r="76" spans="1:10" x14ac:dyDescent="0.25">
      <c r="A76" s="976"/>
      <c r="B76" s="94"/>
      <c r="C76" s="10"/>
      <c r="D76" s="70" t="s">
        <v>36</v>
      </c>
      <c r="E76" s="59"/>
      <c r="F76" s="60"/>
      <c r="G76" s="75"/>
      <c r="H76" s="71"/>
      <c r="I76" s="11"/>
      <c r="J76" s="96"/>
    </row>
    <row r="77" spans="1:10" x14ac:dyDescent="0.25">
      <c r="A77" s="976"/>
      <c r="B77" s="94"/>
      <c r="C77" s="10"/>
      <c r="D77" s="72" t="s">
        <v>870</v>
      </c>
      <c r="E77" s="650">
        <v>2</v>
      </c>
      <c r="F77" s="652">
        <v>4.78</v>
      </c>
      <c r="G77" s="109">
        <f>E77</f>
        <v>2</v>
      </c>
      <c r="H77" s="296">
        <f>(E77*$H$60)</f>
        <v>30.052438356164384</v>
      </c>
      <c r="I77" s="11"/>
      <c r="J77" s="96"/>
    </row>
    <row r="78" spans="1:10" ht="63" x14ac:dyDescent="0.25">
      <c r="A78" s="976"/>
      <c r="B78" s="94"/>
      <c r="C78" s="10"/>
      <c r="D78" s="72" t="s">
        <v>872</v>
      </c>
      <c r="E78" s="650">
        <v>2</v>
      </c>
      <c r="F78" s="652">
        <v>5.27</v>
      </c>
      <c r="G78" s="109">
        <f>E78</f>
        <v>2</v>
      </c>
      <c r="H78" s="296">
        <f>(E78*$H$60)</f>
        <v>30.052438356164384</v>
      </c>
      <c r="I78" s="11"/>
      <c r="J78" s="96"/>
    </row>
    <row r="79" spans="1:10" x14ac:dyDescent="0.25">
      <c r="A79" s="976"/>
      <c r="B79" s="94"/>
      <c r="C79" s="10"/>
      <c r="D79" s="72" t="s">
        <v>875</v>
      </c>
      <c r="E79" s="650">
        <v>1</v>
      </c>
      <c r="F79" s="652">
        <v>2.6</v>
      </c>
      <c r="G79" s="109">
        <f>E79</f>
        <v>1</v>
      </c>
      <c r="H79" s="296">
        <f>(E79*$H$60)</f>
        <v>15.026219178082192</v>
      </c>
      <c r="I79" s="11"/>
      <c r="J79" s="96"/>
    </row>
    <row r="80" spans="1:10" x14ac:dyDescent="0.25">
      <c r="A80" s="976"/>
      <c r="B80" s="94"/>
      <c r="C80" s="10"/>
      <c r="D80" s="72" t="s">
        <v>882</v>
      </c>
      <c r="E80" s="650">
        <v>2</v>
      </c>
      <c r="F80" s="655">
        <v>0</v>
      </c>
      <c r="G80" s="305">
        <f>E80</f>
        <v>2</v>
      </c>
      <c r="H80" s="296">
        <f>(E80*$H$60)</f>
        <v>30.052438356164384</v>
      </c>
      <c r="I80" s="334"/>
      <c r="J80" s="96"/>
    </row>
    <row r="81" spans="1:10" x14ac:dyDescent="0.25">
      <c r="A81" s="976"/>
      <c r="B81" s="94"/>
      <c r="C81" s="10"/>
      <c r="D81" s="70" t="s">
        <v>53</v>
      </c>
      <c r="E81" s="385"/>
      <c r="F81" s="316"/>
      <c r="G81" s="75"/>
      <c r="H81" s="386"/>
      <c r="I81" s="11"/>
      <c r="J81" s="96"/>
    </row>
    <row r="82" spans="1:10" x14ac:dyDescent="0.25">
      <c r="A82" s="976"/>
      <c r="B82" s="94"/>
      <c r="C82" s="10"/>
      <c r="D82" s="72" t="s">
        <v>871</v>
      </c>
      <c r="E82" s="650">
        <v>2</v>
      </c>
      <c r="F82" s="652">
        <f>F77</f>
        <v>4.78</v>
      </c>
      <c r="G82" s="109">
        <f>E82*'Plantel produtivo'!$D$49</f>
        <v>4.7532230759213432</v>
      </c>
      <c r="H82" s="296">
        <f t="shared" ref="H82:H87" si="1">E82*$H$64</f>
        <v>144.14993174410904</v>
      </c>
      <c r="I82" s="11"/>
      <c r="J82" s="96"/>
    </row>
    <row r="83" spans="1:10" ht="63" x14ac:dyDescent="0.25">
      <c r="A83" s="976"/>
      <c r="B83" s="94"/>
      <c r="C83" s="10"/>
      <c r="D83" s="72" t="s">
        <v>872</v>
      </c>
      <c r="E83" s="650">
        <v>1</v>
      </c>
      <c r="F83" s="652">
        <f>F78</f>
        <v>5.27</v>
      </c>
      <c r="G83" s="109">
        <f>E83*'Plantel produtivo'!$D$49</f>
        <v>2.3766115379606716</v>
      </c>
      <c r="H83" s="296">
        <f t="shared" si="1"/>
        <v>72.07496587205452</v>
      </c>
      <c r="I83" s="11"/>
      <c r="J83" s="96"/>
    </row>
    <row r="84" spans="1:10" ht="63" x14ac:dyDescent="0.25">
      <c r="A84" s="976"/>
      <c r="B84" s="94"/>
      <c r="C84" s="10"/>
      <c r="D84" s="72" t="s">
        <v>874</v>
      </c>
      <c r="E84" s="650">
        <v>2</v>
      </c>
      <c r="F84" s="652">
        <v>2.88</v>
      </c>
      <c r="G84" s="109">
        <f>E84*'Plantel produtivo'!$D$49</f>
        <v>4.7532230759213432</v>
      </c>
      <c r="H84" s="296">
        <f t="shared" si="1"/>
        <v>144.14993174410904</v>
      </c>
      <c r="I84" s="334"/>
      <c r="J84" s="96"/>
    </row>
    <row r="85" spans="1:10" x14ac:dyDescent="0.25">
      <c r="A85" s="976"/>
      <c r="B85" s="94"/>
      <c r="C85" s="10"/>
      <c r="D85" s="72" t="s">
        <v>875</v>
      </c>
      <c r="E85" s="650">
        <v>1</v>
      </c>
      <c r="F85" s="652">
        <v>2.6</v>
      </c>
      <c r="G85" s="109">
        <f>E85*'Plantel produtivo'!$D$49</f>
        <v>2.3766115379606716</v>
      </c>
      <c r="H85" s="384">
        <f t="shared" si="1"/>
        <v>72.07496587205452</v>
      </c>
      <c r="I85" s="334"/>
      <c r="J85" s="96"/>
    </row>
    <row r="86" spans="1:10" x14ac:dyDescent="0.25">
      <c r="A86" s="976"/>
      <c r="B86" s="94"/>
      <c r="C86" s="10"/>
      <c r="D86" s="72" t="s">
        <v>877</v>
      </c>
      <c r="E86" s="650">
        <v>1</v>
      </c>
      <c r="F86" s="652">
        <v>4.04</v>
      </c>
      <c r="G86" s="109">
        <f>E86*'Plantel produtivo'!$D$49</f>
        <v>2.3766115379606716</v>
      </c>
      <c r="H86" s="296">
        <f t="shared" si="1"/>
        <v>72.07496587205452</v>
      </c>
      <c r="I86" s="11"/>
      <c r="J86" s="96"/>
    </row>
    <row r="87" spans="1:10" x14ac:dyDescent="0.25">
      <c r="A87" s="976"/>
      <c r="B87" s="94"/>
      <c r="C87" s="10"/>
      <c r="D87" s="77" t="s">
        <v>882</v>
      </c>
      <c r="E87" s="653">
        <v>2</v>
      </c>
      <c r="F87" s="655">
        <v>0</v>
      </c>
      <c r="G87" s="305">
        <f>E87*'Plantel produtivo'!$D$49</f>
        <v>4.7532230759213432</v>
      </c>
      <c r="H87" s="383">
        <f t="shared" si="1"/>
        <v>144.14993174410904</v>
      </c>
      <c r="I87" s="334"/>
      <c r="J87" s="96"/>
    </row>
    <row r="88" spans="1:10" x14ac:dyDescent="0.25">
      <c r="A88" s="976"/>
      <c r="B88" s="94"/>
      <c r="C88" s="10"/>
      <c r="D88" s="106" t="s">
        <v>28</v>
      </c>
      <c r="E88" s="102"/>
      <c r="F88" s="103"/>
      <c r="G88" s="109"/>
      <c r="H88" s="297"/>
      <c r="I88" s="11"/>
      <c r="J88" s="96"/>
    </row>
    <row r="89" spans="1:10" x14ac:dyDescent="0.25">
      <c r="A89" s="976"/>
      <c r="B89" s="94"/>
      <c r="C89" s="10"/>
      <c r="D89" s="72" t="s">
        <v>875</v>
      </c>
      <c r="E89" s="650">
        <v>2</v>
      </c>
      <c r="F89" s="652">
        <f>F85</f>
        <v>2.6</v>
      </c>
      <c r="G89" s="109">
        <f>E89</f>
        <v>2</v>
      </c>
      <c r="H89" s="296">
        <f>((E89*'Plantel produtivo'!$I$20)/(365/7))</f>
        <v>0.45196347031963469</v>
      </c>
      <c r="I89" s="291"/>
      <c r="J89" s="96"/>
    </row>
    <row r="90" spans="1:10" x14ac:dyDescent="0.25">
      <c r="A90" s="976"/>
      <c r="B90" s="94"/>
      <c r="C90" s="10"/>
      <c r="D90" s="77" t="s">
        <v>883</v>
      </c>
      <c r="E90" s="653">
        <v>0</v>
      </c>
      <c r="F90" s="655">
        <v>0</v>
      </c>
      <c r="G90" s="305">
        <f>E90</f>
        <v>0</v>
      </c>
      <c r="H90" s="306">
        <f>((E90*'Plantel produtivo'!$I$20)/(365/7))</f>
        <v>0</v>
      </c>
      <c r="I90" s="11"/>
      <c r="J90" s="96"/>
    </row>
    <row r="91" spans="1:10" x14ac:dyDescent="0.25">
      <c r="A91" s="976"/>
      <c r="B91" s="94"/>
      <c r="C91" s="10"/>
      <c r="D91" s="106" t="s">
        <v>49</v>
      </c>
      <c r="E91" s="102"/>
      <c r="F91" s="103"/>
      <c r="G91" s="109"/>
      <c r="H91" s="298"/>
      <c r="I91" s="11"/>
      <c r="J91" s="96"/>
    </row>
    <row r="92" spans="1:10" x14ac:dyDescent="0.25">
      <c r="A92" s="976"/>
      <c r="B92" s="94"/>
      <c r="C92" s="10"/>
      <c r="D92" s="72" t="s">
        <v>875</v>
      </c>
      <c r="E92" s="656">
        <v>2</v>
      </c>
      <c r="F92" s="652">
        <f>F89</f>
        <v>2.6</v>
      </c>
      <c r="G92" s="109">
        <f>E92</f>
        <v>2</v>
      </c>
      <c r="H92" s="296">
        <f>((E92*'Plantel produtivo'!$I$21)/(365/7))</f>
        <v>0.67794520547945203</v>
      </c>
      <c r="I92" s="11"/>
      <c r="J92" s="96"/>
    </row>
    <row r="93" spans="1:10" x14ac:dyDescent="0.25">
      <c r="A93" s="976"/>
      <c r="B93" s="94"/>
      <c r="C93" s="10"/>
      <c r="D93" s="77" t="s">
        <v>883</v>
      </c>
      <c r="E93" s="657">
        <v>0</v>
      </c>
      <c r="F93" s="655">
        <v>0</v>
      </c>
      <c r="G93" s="305">
        <f>E93</f>
        <v>0</v>
      </c>
      <c r="H93" s="306">
        <f>((E93*'Plantel produtivo'!$I$21)/(365/7))</f>
        <v>0</v>
      </c>
      <c r="I93" s="11"/>
      <c r="J93" s="96"/>
    </row>
    <row r="94" spans="1:10" ht="32.25" thickBot="1" x14ac:dyDescent="0.3">
      <c r="A94" s="976"/>
      <c r="B94" s="94"/>
      <c r="C94" s="10"/>
      <c r="D94" s="10"/>
      <c r="E94" s="10"/>
      <c r="F94" s="95"/>
      <c r="G94" s="10"/>
      <c r="H94" s="10"/>
      <c r="I94" s="10"/>
      <c r="J94" s="96"/>
    </row>
    <row r="95" spans="1:10" ht="32.25" thickBot="1" x14ac:dyDescent="0.3">
      <c r="A95" s="976"/>
      <c r="B95" s="94"/>
      <c r="C95" s="10"/>
      <c r="D95" s="828" t="s">
        <v>107</v>
      </c>
      <c r="E95" s="835"/>
      <c r="F95" s="835"/>
      <c r="G95" s="835"/>
      <c r="H95" s="829"/>
      <c r="I95" s="10"/>
      <c r="J95" s="96"/>
    </row>
    <row r="96" spans="1:10" ht="32.25" thickBot="1" x14ac:dyDescent="0.3">
      <c r="A96" s="976"/>
      <c r="B96" s="94"/>
      <c r="C96" s="10"/>
      <c r="D96" s="10"/>
      <c r="E96" s="11"/>
      <c r="F96" s="95"/>
      <c r="G96" s="10"/>
      <c r="H96" s="10"/>
      <c r="I96" s="10"/>
      <c r="J96" s="96"/>
    </row>
    <row r="97" spans="1:10" ht="62.25" thickBot="1" x14ac:dyDescent="0.3">
      <c r="A97" s="976"/>
      <c r="B97" s="94"/>
      <c r="C97" s="10"/>
      <c r="D97" s="97" t="s">
        <v>50</v>
      </c>
      <c r="E97" s="98" t="s">
        <v>51</v>
      </c>
      <c r="F97" s="99" t="s">
        <v>639</v>
      </c>
      <c r="G97" s="98" t="s">
        <v>92</v>
      </c>
      <c r="H97" s="13" t="s">
        <v>52</v>
      </c>
      <c r="I97" s="10"/>
      <c r="J97" s="96"/>
    </row>
    <row r="98" spans="1:10" x14ac:dyDescent="0.25">
      <c r="A98" s="976"/>
      <c r="B98" s="94"/>
      <c r="C98" s="10"/>
      <c r="D98" s="106" t="s">
        <v>204</v>
      </c>
      <c r="E98" s="102"/>
      <c r="F98" s="103"/>
      <c r="G98" s="76"/>
      <c r="H98" s="108"/>
      <c r="I98" s="11"/>
      <c r="J98" s="96"/>
    </row>
    <row r="99" spans="1:10" x14ac:dyDescent="0.25">
      <c r="A99" s="976"/>
      <c r="B99" s="94"/>
      <c r="C99" s="10"/>
      <c r="D99" s="72" t="s">
        <v>108</v>
      </c>
      <c r="E99" s="656">
        <v>0</v>
      </c>
      <c r="F99" s="652">
        <v>0</v>
      </c>
      <c r="G99" s="109">
        <f>E99</f>
        <v>0</v>
      </c>
      <c r="H99" s="296">
        <f>(E99*$H$60)</f>
        <v>0</v>
      </c>
      <c r="I99" s="11"/>
      <c r="J99" s="96"/>
    </row>
    <row r="100" spans="1:10" x14ac:dyDescent="0.25">
      <c r="A100" s="976"/>
      <c r="B100" s="94"/>
      <c r="C100" s="10"/>
      <c r="D100" s="77" t="s">
        <v>109</v>
      </c>
      <c r="E100" s="657">
        <v>0</v>
      </c>
      <c r="F100" s="655">
        <v>0</v>
      </c>
      <c r="G100" s="305">
        <f>E100</f>
        <v>0</v>
      </c>
      <c r="H100" s="306">
        <f>(E100*$H$60)</f>
        <v>0</v>
      </c>
      <c r="I100" s="11"/>
      <c r="J100" s="96"/>
    </row>
    <row r="101" spans="1:10" x14ac:dyDescent="0.25">
      <c r="A101" s="976"/>
      <c r="B101" s="94"/>
      <c r="C101" s="10"/>
      <c r="D101" s="106" t="s">
        <v>53</v>
      </c>
      <c r="E101" s="595"/>
      <c r="F101" s="594"/>
      <c r="G101" s="109"/>
      <c r="H101" s="295"/>
      <c r="I101" s="11"/>
      <c r="J101" s="96"/>
    </row>
    <row r="102" spans="1:10" x14ac:dyDescent="0.25">
      <c r="A102" s="976"/>
      <c r="B102" s="94"/>
      <c r="C102" s="10"/>
      <c r="D102" s="72" t="s">
        <v>1060</v>
      </c>
      <c r="E102" s="656">
        <v>1</v>
      </c>
      <c r="F102" s="652">
        <v>21.33</v>
      </c>
      <c r="G102" s="109">
        <f>E102*'Plantel produtivo'!$D$49</f>
        <v>2.3766115379606716</v>
      </c>
      <c r="H102" s="296">
        <f>E102*$H$64</f>
        <v>72.07496587205452</v>
      </c>
      <c r="I102" s="11"/>
      <c r="J102" s="96"/>
    </row>
    <row r="103" spans="1:10" x14ac:dyDescent="0.25">
      <c r="A103" s="976"/>
      <c r="B103" s="94"/>
      <c r="C103" s="10"/>
      <c r="D103" s="77" t="s">
        <v>1061</v>
      </c>
      <c r="E103" s="657">
        <v>3</v>
      </c>
      <c r="F103" s="655">
        <v>7.18</v>
      </c>
      <c r="G103" s="305">
        <f>E103*'Plantel produtivo'!$D$49</f>
        <v>7.1298346138820143</v>
      </c>
      <c r="H103" s="306">
        <f>E103*$H$64</f>
        <v>216.22489761616356</v>
      </c>
      <c r="I103" s="11"/>
      <c r="J103" s="96"/>
    </row>
    <row r="104" spans="1:10" x14ac:dyDescent="0.25">
      <c r="A104" s="976"/>
      <c r="B104" s="94"/>
      <c r="C104" s="10"/>
      <c r="D104" s="106" t="s">
        <v>28</v>
      </c>
      <c r="E104" s="102"/>
      <c r="F104" s="103"/>
      <c r="G104" s="109"/>
      <c r="H104" s="108"/>
      <c r="I104" s="11"/>
      <c r="J104" s="96"/>
    </row>
    <row r="105" spans="1:10" x14ac:dyDescent="0.25">
      <c r="A105" s="976"/>
      <c r="B105" s="94"/>
      <c r="C105" s="10"/>
      <c r="D105" s="72" t="s">
        <v>1060</v>
      </c>
      <c r="E105" s="656">
        <v>6</v>
      </c>
      <c r="F105" s="652">
        <f>F102</f>
        <v>21.33</v>
      </c>
      <c r="G105" s="109">
        <f>E105</f>
        <v>6</v>
      </c>
      <c r="H105" s="296">
        <f>((E105*'Plantel produtivo'!$I$38)/(365/7))</f>
        <v>10.931506849315069</v>
      </c>
      <c r="I105" s="11"/>
      <c r="J105" s="96"/>
    </row>
    <row r="106" spans="1:10" x14ac:dyDescent="0.25">
      <c r="A106" s="976"/>
      <c r="B106" s="94"/>
      <c r="C106" s="10"/>
      <c r="D106" s="77" t="s">
        <v>1062</v>
      </c>
      <c r="E106" s="657">
        <v>3</v>
      </c>
      <c r="F106" s="655">
        <f>F103</f>
        <v>7.18</v>
      </c>
      <c r="G106" s="305">
        <f>E106</f>
        <v>3</v>
      </c>
      <c r="H106" s="306">
        <f>((E106*'Plantel produtivo'!$I$38)/(365/7))</f>
        <v>5.4657534246575343</v>
      </c>
      <c r="I106" s="11"/>
      <c r="J106" s="96"/>
    </row>
    <row r="107" spans="1:10" x14ac:dyDescent="0.25">
      <c r="A107" s="976"/>
      <c r="B107" s="94"/>
      <c r="C107" s="10"/>
      <c r="D107" s="70" t="s">
        <v>49</v>
      </c>
      <c r="E107" s="85"/>
      <c r="F107" s="316"/>
      <c r="G107" s="317"/>
      <c r="H107" s="318"/>
      <c r="I107" s="11"/>
      <c r="J107" s="96"/>
    </row>
    <row r="108" spans="1:10" x14ac:dyDescent="0.25">
      <c r="A108" s="976"/>
      <c r="B108" s="94"/>
      <c r="C108" s="10"/>
      <c r="D108" s="72" t="s">
        <v>1060</v>
      </c>
      <c r="E108" s="656">
        <v>6</v>
      </c>
      <c r="F108" s="652">
        <f>F105</f>
        <v>21.33</v>
      </c>
      <c r="G108" s="109">
        <f>E108</f>
        <v>6</v>
      </c>
      <c r="H108" s="296">
        <f>((E108*'Plantel produtivo'!$I$40)/(365/7))</f>
        <v>120.12422721993975</v>
      </c>
      <c r="I108" s="11"/>
      <c r="J108" s="96"/>
    </row>
    <row r="109" spans="1:10" x14ac:dyDescent="0.25">
      <c r="A109" s="976"/>
      <c r="B109" s="94"/>
      <c r="C109" s="10"/>
      <c r="D109" s="77" t="s">
        <v>1061</v>
      </c>
      <c r="E109" s="657">
        <v>3</v>
      </c>
      <c r="F109" s="655">
        <f>F106</f>
        <v>7.18</v>
      </c>
      <c r="G109" s="305">
        <f>E109</f>
        <v>3</v>
      </c>
      <c r="H109" s="306">
        <f>((E109*'Plantel produtivo'!$I$40)/(365/7))</f>
        <v>60.062113609969877</v>
      </c>
      <c r="I109" s="11"/>
      <c r="J109" s="96"/>
    </row>
    <row r="110" spans="1:10" x14ac:dyDescent="0.25">
      <c r="A110" s="976"/>
      <c r="B110" s="94"/>
      <c r="C110" s="10"/>
      <c r="D110" s="110"/>
      <c r="E110" s="11"/>
      <c r="F110" s="95"/>
      <c r="G110" s="11"/>
      <c r="H110" s="111"/>
      <c r="I110" s="11"/>
      <c r="J110" s="96"/>
    </row>
    <row r="111" spans="1:10" x14ac:dyDescent="0.25">
      <c r="A111" s="976"/>
      <c r="B111" s="94"/>
      <c r="C111" s="10"/>
      <c r="D111" s="948" t="s">
        <v>54</v>
      </c>
      <c r="E111" s="948"/>
      <c r="F111" s="948"/>
      <c r="G111" s="948"/>
      <c r="H111" s="948"/>
      <c r="I111" s="10"/>
      <c r="J111" s="96"/>
    </row>
    <row r="112" spans="1:10" ht="32.25" thickBot="1" x14ac:dyDescent="0.3">
      <c r="A112" s="976"/>
      <c r="B112" s="94"/>
      <c r="C112" s="10"/>
      <c r="D112" s="949"/>
      <c r="E112" s="949"/>
      <c r="F112" s="949"/>
      <c r="G112" s="949"/>
      <c r="H112" s="949"/>
      <c r="I112" s="10"/>
      <c r="J112" s="96"/>
    </row>
    <row r="113" spans="1:10" ht="45.75" customHeight="1" thickBot="1" x14ac:dyDescent="0.3">
      <c r="A113" s="976"/>
      <c r="B113" s="94"/>
      <c r="C113" s="10"/>
      <c r="D113" s="919" t="s">
        <v>95</v>
      </c>
      <c r="E113" s="920"/>
      <c r="F113" s="920"/>
      <c r="G113" s="920"/>
      <c r="H113" s="921"/>
      <c r="I113" s="10"/>
      <c r="J113" s="96"/>
    </row>
    <row r="114" spans="1:10" ht="96.75" customHeight="1" thickBot="1" x14ac:dyDescent="0.3">
      <c r="A114" s="976"/>
      <c r="B114" s="94"/>
      <c r="C114" s="10"/>
      <c r="D114" s="97" t="s">
        <v>11</v>
      </c>
      <c r="E114" s="98" t="s">
        <v>12</v>
      </c>
      <c r="F114" s="99" t="s">
        <v>642</v>
      </c>
      <c r="G114" s="98" t="s">
        <v>55</v>
      </c>
      <c r="H114" s="13" t="s">
        <v>56</v>
      </c>
      <c r="I114" s="10"/>
      <c r="J114" s="96"/>
    </row>
    <row r="115" spans="1:10" x14ac:dyDescent="0.25">
      <c r="A115" s="976"/>
      <c r="B115" s="94"/>
      <c r="C115" s="10"/>
      <c r="D115" s="930" t="s">
        <v>57</v>
      </c>
      <c r="E115" s="931"/>
      <c r="F115" s="932"/>
      <c r="G115" s="73"/>
      <c r="H115" s="73"/>
      <c r="I115" s="10"/>
      <c r="J115" s="96"/>
    </row>
    <row r="116" spans="1:10" x14ac:dyDescent="0.25">
      <c r="A116" s="976"/>
      <c r="B116" s="94"/>
      <c r="C116" s="10"/>
      <c r="D116" s="72" t="s">
        <v>58</v>
      </c>
      <c r="E116" s="9" t="s">
        <v>59</v>
      </c>
      <c r="F116" s="652">
        <v>19.215</v>
      </c>
      <c r="G116" s="64">
        <f>(H116/'Plantel produtivo'!$D$34)</f>
        <v>0.15466373424657537</v>
      </c>
      <c r="H116" s="112">
        <f>(($H$134*0.05)+($H$131*0.05)+($H$130*0.1))</f>
        <v>13.471394537156126</v>
      </c>
      <c r="I116" s="10"/>
      <c r="J116" s="96"/>
    </row>
    <row r="117" spans="1:10" x14ac:dyDescent="0.25">
      <c r="A117" s="976"/>
      <c r="B117" s="94"/>
      <c r="C117" s="10"/>
      <c r="D117" s="72" t="s">
        <v>60</v>
      </c>
      <c r="E117" s="9" t="s">
        <v>1070</v>
      </c>
      <c r="F117" s="652">
        <v>13.53</v>
      </c>
      <c r="G117" s="64">
        <f>(H117/'Plantel produtivo'!$D$34)</f>
        <v>0.15466373424657537</v>
      </c>
      <c r="H117" s="112">
        <f>(($H$134*0.05)+($H$131*0.05)+($H$130*0.1))</f>
        <v>13.471394537156126</v>
      </c>
      <c r="I117" s="10"/>
      <c r="J117" s="96"/>
    </row>
    <row r="118" spans="1:10" x14ac:dyDescent="0.25">
      <c r="A118" s="976"/>
      <c r="B118" s="94"/>
      <c r="C118" s="10"/>
      <c r="D118" s="72" t="s">
        <v>61</v>
      </c>
      <c r="E118" s="9" t="s">
        <v>62</v>
      </c>
      <c r="F118" s="652">
        <v>0.28000000000000003</v>
      </c>
      <c r="G118" s="64">
        <f>(H118/'Plantel produtivo'!$D$34)</f>
        <v>5.1554578082191778E-2</v>
      </c>
      <c r="H118" s="112">
        <f>((($H$134/2)+($H$130)+($H$131/2))/'Plantel produtivo'!$D$42)</f>
        <v>4.4904648457187077</v>
      </c>
      <c r="I118" s="10"/>
      <c r="J118" s="96"/>
    </row>
    <row r="119" spans="1:10" x14ac:dyDescent="0.25">
      <c r="A119" s="976"/>
      <c r="B119" s="94"/>
      <c r="C119" s="10"/>
      <c r="D119" s="72" t="s">
        <v>63</v>
      </c>
      <c r="E119" s="9" t="s">
        <v>62</v>
      </c>
      <c r="F119" s="652">
        <v>0.28999999999999998</v>
      </c>
      <c r="G119" s="64">
        <f>(H119/'Plantel produtivo'!$D$34)</f>
        <v>5.1554578082191778E-2</v>
      </c>
      <c r="H119" s="112">
        <f>((($H$134/2)+($H$130)+($H$131/2))/'Plantel produtivo'!$D$42)</f>
        <v>4.4904648457187077</v>
      </c>
      <c r="I119" s="10"/>
      <c r="J119" s="96"/>
    </row>
    <row r="120" spans="1:10" ht="32.25" thickBot="1" x14ac:dyDescent="0.3">
      <c r="A120" s="976"/>
      <c r="B120" s="94"/>
      <c r="C120" s="10"/>
      <c r="D120" s="72" t="s">
        <v>64</v>
      </c>
      <c r="E120" s="9" t="s">
        <v>62</v>
      </c>
      <c r="F120" s="652">
        <v>0.19</v>
      </c>
      <c r="G120" s="64">
        <f>(H120/'Plantel produtivo'!$D$34)</f>
        <v>5.1554578082191778E-2</v>
      </c>
      <c r="H120" s="112">
        <f>((($H$134/2)+($H$130)+($H$131/2))/'Plantel produtivo'!$D$42)</f>
        <v>4.4904648457187077</v>
      </c>
      <c r="I120" s="10"/>
      <c r="J120" s="96"/>
    </row>
    <row r="121" spans="1:10" ht="32.25" thickBot="1" x14ac:dyDescent="0.3">
      <c r="A121" s="976"/>
      <c r="B121" s="94"/>
      <c r="C121" s="10"/>
      <c r="D121" s="919" t="s">
        <v>96</v>
      </c>
      <c r="E121" s="920"/>
      <c r="F121" s="920"/>
      <c r="G121" s="920"/>
      <c r="H121" s="921"/>
      <c r="I121" s="10"/>
      <c r="J121" s="96"/>
    </row>
    <row r="122" spans="1:10" ht="139.5" customHeight="1" x14ac:dyDescent="0.25">
      <c r="A122" s="976"/>
      <c r="B122" s="94"/>
      <c r="C122" s="10"/>
      <c r="D122" s="113" t="s">
        <v>11</v>
      </c>
      <c r="E122" s="2" t="s">
        <v>12</v>
      </c>
      <c r="F122" s="114" t="s">
        <v>643</v>
      </c>
      <c r="G122" s="2" t="s">
        <v>55</v>
      </c>
      <c r="H122" s="115" t="s">
        <v>56</v>
      </c>
      <c r="I122" s="10"/>
      <c r="J122" s="96"/>
    </row>
    <row r="123" spans="1:10" x14ac:dyDescent="0.25">
      <c r="A123" s="976"/>
      <c r="B123" s="94"/>
      <c r="C123" s="10"/>
      <c r="D123" s="62" t="s">
        <v>1015</v>
      </c>
      <c r="E123" s="9" t="s">
        <v>62</v>
      </c>
      <c r="F123" s="667">
        <v>15.37</v>
      </c>
      <c r="G123" s="63">
        <f>'Plantel produtivo'!$D$40</f>
        <v>3</v>
      </c>
      <c r="H123" s="323">
        <f>$H$60*G123</f>
        <v>45.078657534246574</v>
      </c>
      <c r="I123" s="10"/>
      <c r="J123" s="96"/>
    </row>
    <row r="124" spans="1:10" ht="32.25" thickBot="1" x14ac:dyDescent="0.3">
      <c r="A124" s="976"/>
      <c r="B124" s="94"/>
      <c r="C124" s="10"/>
      <c r="D124" s="321" t="s">
        <v>1016</v>
      </c>
      <c r="E124" s="9" t="s">
        <v>62</v>
      </c>
      <c r="F124" s="668">
        <v>15.37</v>
      </c>
      <c r="G124" s="63">
        <f>'Plantel produtivo'!$D$39</f>
        <v>2.8</v>
      </c>
      <c r="H124" s="324">
        <f>G124*$H$64</f>
        <v>201.80990444175265</v>
      </c>
      <c r="I124" s="322"/>
      <c r="J124" s="96"/>
    </row>
    <row r="125" spans="1:10" ht="32.25" thickBot="1" x14ac:dyDescent="0.3">
      <c r="A125" s="976"/>
      <c r="B125" s="94"/>
      <c r="C125" s="10"/>
      <c r="D125" s="919" t="s">
        <v>97</v>
      </c>
      <c r="E125" s="920"/>
      <c r="F125" s="920"/>
      <c r="G125" s="920"/>
      <c r="H125" s="921"/>
      <c r="I125" s="10"/>
      <c r="J125" s="96"/>
    </row>
    <row r="126" spans="1:10" ht="91.5" customHeight="1" thickBot="1" x14ac:dyDescent="0.3">
      <c r="A126" s="976"/>
      <c r="B126" s="94"/>
      <c r="C126" s="10"/>
      <c r="D126" s="97" t="s">
        <v>11</v>
      </c>
      <c r="E126" s="98" t="s">
        <v>12</v>
      </c>
      <c r="F126" s="99" t="s">
        <v>642</v>
      </c>
      <c r="G126" s="98" t="s">
        <v>55</v>
      </c>
      <c r="H126" s="13" t="s">
        <v>56</v>
      </c>
      <c r="I126" s="10"/>
      <c r="J126" s="96"/>
    </row>
    <row r="127" spans="1:10" x14ac:dyDescent="0.25">
      <c r="A127" s="976"/>
      <c r="B127" s="94"/>
      <c r="C127" s="10"/>
      <c r="D127" s="930" t="s">
        <v>66</v>
      </c>
      <c r="E127" s="931"/>
      <c r="F127" s="932"/>
      <c r="G127" s="116"/>
      <c r="H127" s="117"/>
      <c r="I127" s="10"/>
      <c r="J127" s="96"/>
    </row>
    <row r="128" spans="1:10" x14ac:dyDescent="0.25">
      <c r="A128" s="976"/>
      <c r="B128" s="94"/>
      <c r="C128" s="10"/>
      <c r="D128" s="72" t="s">
        <v>67</v>
      </c>
      <c r="E128" s="9" t="s">
        <v>62</v>
      </c>
      <c r="F128" s="652">
        <v>0.84</v>
      </c>
      <c r="G128" s="174">
        <f>'Plantel produtivo'!$D$40*'Plantel produtivo'!$D$41</f>
        <v>1.5</v>
      </c>
      <c r="H128" s="112">
        <f>$H$60*G128</f>
        <v>22.539328767123287</v>
      </c>
      <c r="I128" s="10"/>
      <c r="J128" s="96"/>
    </row>
    <row r="129" spans="1:10" x14ac:dyDescent="0.25">
      <c r="A129" s="976"/>
      <c r="B129" s="94"/>
      <c r="C129" s="10"/>
      <c r="D129" s="72" t="s">
        <v>68</v>
      </c>
      <c r="E129" s="9" t="s">
        <v>62</v>
      </c>
      <c r="F129" s="652">
        <v>1.35</v>
      </c>
      <c r="G129" s="174">
        <f>'Plantel produtivo'!$D$40*'Plantel produtivo'!$D$41</f>
        <v>1.5</v>
      </c>
      <c r="H129" s="112">
        <f>$H$60*G129</f>
        <v>22.539328767123287</v>
      </c>
      <c r="I129" s="10"/>
      <c r="J129" s="96"/>
    </row>
    <row r="130" spans="1:10" x14ac:dyDescent="0.25">
      <c r="A130" s="976"/>
      <c r="B130" s="94"/>
      <c r="C130" s="10"/>
      <c r="D130" s="72" t="s">
        <v>69</v>
      </c>
      <c r="E130" s="9" t="s">
        <v>62</v>
      </c>
      <c r="F130" s="652">
        <v>0.72</v>
      </c>
      <c r="G130" s="174">
        <f>'Plantel produtivo'!$D$40*'Plantel produtivo'!$D$41</f>
        <v>1.5</v>
      </c>
      <c r="H130" s="112">
        <f>$H$60*G130</f>
        <v>22.539328767123287</v>
      </c>
      <c r="I130" s="10"/>
      <c r="J130" s="96"/>
    </row>
    <row r="131" spans="1:10" x14ac:dyDescent="0.25">
      <c r="A131" s="976"/>
      <c r="B131" s="94"/>
      <c r="C131" s="10"/>
      <c r="D131" s="72" t="s">
        <v>70</v>
      </c>
      <c r="E131" s="9" t="s">
        <v>62</v>
      </c>
      <c r="F131" s="652">
        <v>0.72</v>
      </c>
      <c r="G131" s="174">
        <f>'Plantel produtivo'!$D$40*'Plantel produtivo'!$D$41</f>
        <v>1.5</v>
      </c>
      <c r="H131" s="112">
        <f>$H$60*G131</f>
        <v>22.539328767123287</v>
      </c>
      <c r="I131" s="10"/>
      <c r="J131" s="96"/>
    </row>
    <row r="132" spans="1:10" x14ac:dyDescent="0.25">
      <c r="A132" s="976"/>
      <c r="B132" s="94"/>
      <c r="C132" s="10"/>
      <c r="D132" s="70" t="s">
        <v>65</v>
      </c>
      <c r="E132" s="59"/>
      <c r="F132" s="359"/>
      <c r="G132" s="175"/>
      <c r="H132" s="277"/>
      <c r="I132" s="10"/>
      <c r="J132" s="96"/>
    </row>
    <row r="133" spans="1:10" x14ac:dyDescent="0.25">
      <c r="A133" s="976"/>
      <c r="B133" s="94"/>
      <c r="C133" s="10"/>
      <c r="D133" s="72" t="s">
        <v>68</v>
      </c>
      <c r="E133" s="9" t="s">
        <v>62</v>
      </c>
      <c r="F133" s="652">
        <f>F129</f>
        <v>1.35</v>
      </c>
      <c r="G133" s="174">
        <f>'Plantel produtivo'!$D$39</f>
        <v>2.8</v>
      </c>
      <c r="H133" s="112">
        <f>G133*$H$64</f>
        <v>201.80990444175265</v>
      </c>
      <c r="I133" s="10"/>
      <c r="J133" s="96"/>
    </row>
    <row r="134" spans="1:10" x14ac:dyDescent="0.25">
      <c r="A134" s="976"/>
      <c r="B134" s="94"/>
      <c r="C134" s="10"/>
      <c r="D134" s="77" t="s">
        <v>261</v>
      </c>
      <c r="E134" s="89" t="s">
        <v>62</v>
      </c>
      <c r="F134" s="655">
        <f>F131</f>
        <v>0.72</v>
      </c>
      <c r="G134" s="176">
        <f>'Plantel produtivo'!$D$39</f>
        <v>2.8</v>
      </c>
      <c r="H134" s="320">
        <f>G134*$H$64</f>
        <v>201.80990444175265</v>
      </c>
      <c r="I134" s="10"/>
      <c r="J134" s="96"/>
    </row>
    <row r="135" spans="1:10" ht="32.25" thickBot="1" x14ac:dyDescent="0.3">
      <c r="A135" s="976"/>
      <c r="B135" s="94"/>
      <c r="C135" s="10"/>
      <c r="D135" s="10"/>
      <c r="E135" s="10"/>
      <c r="F135" s="95"/>
      <c r="G135" s="10"/>
      <c r="H135" s="10"/>
      <c r="I135" s="10"/>
      <c r="J135" s="96"/>
    </row>
    <row r="136" spans="1:10" ht="32.25" thickBot="1" x14ac:dyDescent="0.3">
      <c r="A136" s="976"/>
      <c r="B136" s="94"/>
      <c r="C136" s="828" t="s">
        <v>71</v>
      </c>
      <c r="D136" s="835"/>
      <c r="E136" s="835"/>
      <c r="F136" s="835"/>
      <c r="G136" s="835"/>
      <c r="H136" s="835"/>
      <c r="I136" s="829"/>
      <c r="J136" s="96"/>
    </row>
    <row r="137" spans="1:10" ht="32.25" thickBot="1" x14ac:dyDescent="0.3">
      <c r="A137" s="976"/>
      <c r="B137" s="118"/>
      <c r="C137" s="10"/>
      <c r="D137" s="10"/>
      <c r="E137" s="11"/>
      <c r="F137" s="95"/>
      <c r="G137" s="10"/>
      <c r="H137" s="10"/>
      <c r="I137" s="10"/>
      <c r="J137" s="96"/>
    </row>
    <row r="138" spans="1:10" ht="62.25" thickBot="1" x14ac:dyDescent="0.3">
      <c r="A138" s="976"/>
      <c r="B138" s="94"/>
      <c r="C138" s="950" t="s">
        <v>72</v>
      </c>
      <c r="D138" s="951"/>
      <c r="E138" s="98" t="s">
        <v>73</v>
      </c>
      <c r="F138" s="99" t="s">
        <v>641</v>
      </c>
      <c r="G138" s="98" t="s">
        <v>74</v>
      </c>
      <c r="H138" s="98" t="s">
        <v>116</v>
      </c>
      <c r="I138" s="13" t="s">
        <v>75</v>
      </c>
      <c r="J138" s="96"/>
    </row>
    <row r="139" spans="1:10" x14ac:dyDescent="0.25">
      <c r="A139" s="976"/>
      <c r="B139" s="94"/>
      <c r="C139" s="917" t="s">
        <v>76</v>
      </c>
      <c r="D139" s="918"/>
      <c r="E139" s="9"/>
      <c r="G139" s="9"/>
      <c r="H139" s="73"/>
      <c r="I139" s="73"/>
      <c r="J139" s="96"/>
    </row>
    <row r="140" spans="1:10" x14ac:dyDescent="0.25">
      <c r="A140" s="976"/>
      <c r="B140" s="94"/>
      <c r="C140" s="933" t="s">
        <v>380</v>
      </c>
      <c r="D140" s="934"/>
      <c r="E140" s="9" t="s">
        <v>383</v>
      </c>
      <c r="F140" s="658">
        <v>2377.77</v>
      </c>
      <c r="G140" s="656">
        <v>1</v>
      </c>
      <c r="H140" s="659">
        <v>8</v>
      </c>
      <c r="I140" s="82">
        <f>(G140*H140)*5.5</f>
        <v>44</v>
      </c>
      <c r="J140" s="96"/>
    </row>
    <row r="141" spans="1:10" x14ac:dyDescent="0.25">
      <c r="A141" s="976"/>
      <c r="B141" s="94"/>
      <c r="C141" s="933" t="s">
        <v>381</v>
      </c>
      <c r="D141" s="934"/>
      <c r="E141" s="9" t="s">
        <v>78</v>
      </c>
      <c r="F141" s="658">
        <v>1785.02</v>
      </c>
      <c r="G141" s="656">
        <v>1</v>
      </c>
      <c r="H141" s="659">
        <v>8</v>
      </c>
      <c r="I141" s="82">
        <f>(G141*H141)*5.5</f>
        <v>44</v>
      </c>
      <c r="J141" s="96"/>
    </row>
    <row r="142" spans="1:10" x14ac:dyDescent="0.25">
      <c r="A142" s="976"/>
      <c r="B142" s="94"/>
      <c r="C142" s="62" t="s">
        <v>382</v>
      </c>
      <c r="D142" s="83"/>
      <c r="E142" s="9" t="s">
        <v>117</v>
      </c>
      <c r="F142" s="658">
        <v>2386.75</v>
      </c>
      <c r="G142" s="656">
        <v>2</v>
      </c>
      <c r="H142" s="659">
        <v>8</v>
      </c>
      <c r="I142" s="82">
        <f>(G142*H142)*5.5</f>
        <v>88</v>
      </c>
      <c r="J142" s="96"/>
    </row>
    <row r="143" spans="1:10" x14ac:dyDescent="0.25">
      <c r="A143" s="976"/>
      <c r="B143" s="94"/>
      <c r="C143" s="62" t="s">
        <v>386</v>
      </c>
      <c r="D143" s="83"/>
      <c r="E143" s="9" t="s">
        <v>78</v>
      </c>
      <c r="F143" s="658">
        <v>1785.02</v>
      </c>
      <c r="G143" s="656">
        <v>6</v>
      </c>
      <c r="H143" s="659">
        <v>8</v>
      </c>
      <c r="I143" s="82">
        <f>(G143*H143)*5.5</f>
        <v>264</v>
      </c>
      <c r="J143" s="96"/>
    </row>
    <row r="144" spans="1:10" x14ac:dyDescent="0.25">
      <c r="A144" s="976"/>
      <c r="B144" s="94"/>
      <c r="C144" s="289" t="s">
        <v>730</v>
      </c>
      <c r="D144" s="290"/>
      <c r="E144" s="9"/>
      <c r="F144" s="658">
        <v>0</v>
      </c>
      <c r="G144" s="656">
        <v>0</v>
      </c>
      <c r="H144" s="659">
        <v>0</v>
      </c>
      <c r="I144" s="82">
        <f>(G144*H144)*5.5</f>
        <v>0</v>
      </c>
      <c r="J144" s="96"/>
    </row>
    <row r="145" spans="1:10" x14ac:dyDescent="0.25">
      <c r="A145" s="976"/>
      <c r="B145" s="94"/>
      <c r="C145" s="922" t="s">
        <v>80</v>
      </c>
      <c r="D145" s="923"/>
      <c r="E145" s="59"/>
      <c r="F145" s="315"/>
      <c r="G145" s="85"/>
      <c r="H145" s="86"/>
      <c r="I145" s="87"/>
      <c r="J145" s="96"/>
    </row>
    <row r="146" spans="1:10" x14ac:dyDescent="0.25">
      <c r="A146" s="976"/>
      <c r="B146" s="94"/>
      <c r="C146" s="946" t="s">
        <v>800</v>
      </c>
      <c r="D146" s="947"/>
      <c r="E146" s="89"/>
      <c r="F146" s="660">
        <v>0</v>
      </c>
      <c r="G146" s="657">
        <v>0</v>
      </c>
      <c r="H146" s="661">
        <v>0</v>
      </c>
      <c r="I146" s="514">
        <f>(G146*H146)/4</f>
        <v>0</v>
      </c>
      <c r="J146" s="96"/>
    </row>
    <row r="147" spans="1:10" ht="32.25" thickBot="1" x14ac:dyDescent="0.3">
      <c r="A147" s="976"/>
      <c r="B147" s="94"/>
      <c r="C147" s="10"/>
      <c r="D147" s="10"/>
      <c r="E147" s="10"/>
      <c r="F147" s="95"/>
      <c r="G147" s="10"/>
      <c r="H147" s="10"/>
      <c r="I147" s="10"/>
      <c r="J147" s="96"/>
    </row>
    <row r="148" spans="1:10" ht="32.25" thickBot="1" x14ac:dyDescent="0.3">
      <c r="A148" s="976"/>
      <c r="B148" s="94"/>
      <c r="C148" s="10"/>
      <c r="D148" s="828" t="s">
        <v>917</v>
      </c>
      <c r="E148" s="835"/>
      <c r="F148" s="835"/>
      <c r="G148" s="835"/>
      <c r="H148" s="829"/>
      <c r="I148" s="10"/>
      <c r="J148" s="96"/>
    </row>
    <row r="149" spans="1:10" ht="32.25" thickBot="1" x14ac:dyDescent="0.3">
      <c r="A149" s="976"/>
      <c r="B149" s="94"/>
      <c r="C149" s="10"/>
      <c r="D149" s="10"/>
      <c r="E149" s="10"/>
      <c r="F149" s="95"/>
      <c r="G149" s="11"/>
      <c r="H149" s="10"/>
      <c r="I149" s="10"/>
      <c r="J149" s="96"/>
    </row>
    <row r="150" spans="1:10" ht="62.25" thickBot="1" x14ac:dyDescent="0.3">
      <c r="A150" s="976"/>
      <c r="B150" s="94"/>
      <c r="C150" s="10"/>
      <c r="D150" s="12" t="s">
        <v>11</v>
      </c>
      <c r="E150" s="119"/>
      <c r="F150" s="99" t="s">
        <v>642</v>
      </c>
      <c r="G150" s="98" t="s">
        <v>13</v>
      </c>
      <c r="H150" s="13" t="s">
        <v>81</v>
      </c>
      <c r="I150" s="10"/>
      <c r="J150" s="96"/>
    </row>
    <row r="151" spans="1:10" ht="31.5" customHeight="1" x14ac:dyDescent="0.2">
      <c r="A151" s="976"/>
      <c r="B151" s="94"/>
      <c r="C151" s="10"/>
      <c r="D151" s="972" t="s">
        <v>1047</v>
      </c>
      <c r="E151" s="973"/>
      <c r="F151" s="658">
        <f>F40</f>
        <v>45.43</v>
      </c>
      <c r="G151" s="664">
        <v>5</v>
      </c>
      <c r="H151" s="603" t="s">
        <v>918</v>
      </c>
      <c r="I151" s="10"/>
      <c r="J151" s="96"/>
    </row>
    <row r="152" spans="1:10" ht="63" customHeight="1" x14ac:dyDescent="0.2">
      <c r="A152" s="976"/>
      <c r="B152" s="94"/>
      <c r="C152" s="10"/>
      <c r="D152" s="935" t="s">
        <v>1048</v>
      </c>
      <c r="E152" s="936"/>
      <c r="F152" s="658">
        <f>F41</f>
        <v>45.43</v>
      </c>
      <c r="G152" s="664">
        <v>1</v>
      </c>
      <c r="H152" s="603" t="s">
        <v>918</v>
      </c>
      <c r="I152" s="10"/>
      <c r="J152" s="96"/>
    </row>
    <row r="153" spans="1:10" x14ac:dyDescent="0.2">
      <c r="A153" s="976"/>
      <c r="B153" s="94"/>
      <c r="C153" s="10"/>
      <c r="D153" s="935" t="s">
        <v>1049</v>
      </c>
      <c r="E153" s="936"/>
      <c r="F153" s="658">
        <v>96.68</v>
      </c>
      <c r="G153" s="664">
        <v>1</v>
      </c>
      <c r="H153" s="603" t="s">
        <v>918</v>
      </c>
      <c r="I153" s="10"/>
      <c r="J153" s="96"/>
    </row>
    <row r="154" spans="1:10" x14ac:dyDescent="0.2">
      <c r="A154" s="976"/>
      <c r="B154" s="94"/>
      <c r="C154" s="10"/>
      <c r="D154" s="935" t="s">
        <v>1075</v>
      </c>
      <c r="E154" s="936"/>
      <c r="F154" s="658">
        <v>0.19</v>
      </c>
      <c r="G154" s="669">
        <f>SUM(H77:H92)*4</f>
        <v>3019.9525430834597</v>
      </c>
      <c r="H154" s="603" t="s">
        <v>1074</v>
      </c>
      <c r="I154" s="10"/>
      <c r="J154" s="96"/>
    </row>
    <row r="155" spans="1:10" x14ac:dyDescent="0.2">
      <c r="A155" s="976"/>
      <c r="B155" s="94"/>
      <c r="C155" s="10"/>
      <c r="D155" s="935" t="s">
        <v>1052</v>
      </c>
      <c r="E155" s="936"/>
      <c r="F155" s="658">
        <v>0.72</v>
      </c>
      <c r="G155" s="669">
        <f>G154</f>
        <v>3019.9525430834597</v>
      </c>
      <c r="H155" s="603" t="s">
        <v>1074</v>
      </c>
      <c r="I155" s="10"/>
      <c r="J155" s="96"/>
    </row>
    <row r="156" spans="1:10" x14ac:dyDescent="0.25">
      <c r="A156" s="976"/>
      <c r="B156" s="94"/>
      <c r="C156" s="10"/>
      <c r="D156" s="597" t="s">
        <v>992</v>
      </c>
      <c r="E156" s="598"/>
      <c r="F156" s="658">
        <f>F44</f>
        <v>13.28</v>
      </c>
      <c r="G156" s="664">
        <v>20</v>
      </c>
      <c r="H156" s="603" t="s">
        <v>1074</v>
      </c>
      <c r="I156" s="10"/>
      <c r="J156" s="96"/>
    </row>
    <row r="157" spans="1:10" x14ac:dyDescent="0.25">
      <c r="A157" s="976"/>
      <c r="B157" s="94"/>
      <c r="C157" s="10"/>
      <c r="D157" s="597" t="s">
        <v>1026</v>
      </c>
      <c r="E157" s="599"/>
      <c r="F157" s="658">
        <f t="shared" ref="F157" si="2">F45</f>
        <v>3.44</v>
      </c>
      <c r="G157" s="670">
        <v>40</v>
      </c>
      <c r="H157" s="603" t="s">
        <v>1074</v>
      </c>
      <c r="I157" s="10"/>
      <c r="J157" s="96"/>
    </row>
    <row r="158" spans="1:10" x14ac:dyDescent="0.25">
      <c r="A158" s="976"/>
      <c r="B158" s="94"/>
      <c r="C158" s="10"/>
      <c r="D158" s="597" t="s">
        <v>1027</v>
      </c>
      <c r="E158" s="599"/>
      <c r="F158" s="658">
        <f>F46</f>
        <v>24.3</v>
      </c>
      <c r="G158" s="670">
        <v>20</v>
      </c>
      <c r="H158" s="603" t="s">
        <v>1074</v>
      </c>
      <c r="I158" s="10"/>
      <c r="J158" s="96"/>
    </row>
    <row r="159" spans="1:10" x14ac:dyDescent="0.25">
      <c r="A159" s="976"/>
      <c r="B159" s="94"/>
      <c r="C159" s="10"/>
      <c r="D159" s="600" t="s">
        <v>1046</v>
      </c>
      <c r="E159" s="599"/>
      <c r="F159" s="658">
        <v>0</v>
      </c>
      <c r="G159" s="670">
        <v>0</v>
      </c>
      <c r="H159" s="603"/>
      <c r="I159" s="10"/>
      <c r="J159" s="96"/>
    </row>
    <row r="160" spans="1:10" x14ac:dyDescent="0.25">
      <c r="A160" s="976"/>
      <c r="B160" s="94"/>
      <c r="C160" s="10"/>
      <c r="D160" s="600" t="s">
        <v>1068</v>
      </c>
      <c r="E160" s="599"/>
      <c r="F160" s="658">
        <v>34</v>
      </c>
      <c r="G160" s="670">
        <v>4</v>
      </c>
      <c r="H160" s="603" t="s">
        <v>1074</v>
      </c>
      <c r="I160" s="10"/>
      <c r="J160" s="96"/>
    </row>
    <row r="161" spans="1:10" x14ac:dyDescent="0.25">
      <c r="A161" s="976"/>
      <c r="B161" s="94"/>
      <c r="C161" s="10"/>
      <c r="D161" s="601" t="s">
        <v>93</v>
      </c>
      <c r="E161" s="602"/>
      <c r="F161" s="660">
        <v>0</v>
      </c>
      <c r="G161" s="671">
        <v>0</v>
      </c>
      <c r="H161" s="604"/>
      <c r="I161" s="10"/>
      <c r="J161" s="96"/>
    </row>
    <row r="162" spans="1:10" ht="32.25" thickBot="1" x14ac:dyDescent="0.3">
      <c r="A162" s="976"/>
      <c r="B162" s="94"/>
      <c r="C162" s="10"/>
      <c r="D162" s="10"/>
      <c r="E162" s="11"/>
      <c r="F162" s="95"/>
      <c r="G162" s="120"/>
      <c r="H162" s="121"/>
      <c r="I162" s="10"/>
      <c r="J162" s="96"/>
    </row>
    <row r="163" spans="1:10" ht="32.25" thickBot="1" x14ac:dyDescent="0.3">
      <c r="A163" s="280"/>
      <c r="B163" s="937" t="s">
        <v>923</v>
      </c>
      <c r="C163" s="938"/>
      <c r="D163" s="938"/>
      <c r="E163" s="938"/>
      <c r="F163" s="938"/>
      <c r="G163" s="939"/>
      <c r="H163" s="943">
        <f>SUM('Custo de produção por lotes'!L24:M24,'Custo de produção por lotes'!L94:M94,'Custo de produção por lotes'!L155:M155,'Custo de produção por lotes'!L181:M181)</f>
        <v>66165.730622775882</v>
      </c>
      <c r="I163" s="944"/>
      <c r="J163" s="945"/>
    </row>
    <row r="164" spans="1:10" ht="32.25" thickBot="1" x14ac:dyDescent="0.3">
      <c r="E164" s="9"/>
      <c r="G164" s="122"/>
      <c r="H164" s="123"/>
    </row>
    <row r="165" spans="1:10" ht="38.25" thickBot="1" x14ac:dyDescent="0.3">
      <c r="B165" s="924" t="s">
        <v>10</v>
      </c>
      <c r="C165" s="925"/>
      <c r="D165" s="925"/>
      <c r="E165" s="925"/>
      <c r="F165" s="925"/>
      <c r="G165" s="925"/>
      <c r="H165" s="925"/>
      <c r="I165" s="925"/>
      <c r="J165" s="926"/>
    </row>
    <row r="166" spans="1:10" ht="32.25" thickBot="1" x14ac:dyDescent="0.3">
      <c r="A166" s="977" t="s">
        <v>231</v>
      </c>
      <c r="B166" s="124"/>
      <c r="C166" s="125"/>
      <c r="D166" s="126"/>
      <c r="E166" s="127"/>
      <c r="F166" s="128"/>
      <c r="G166" s="127"/>
      <c r="H166" s="127"/>
      <c r="I166" s="125"/>
      <c r="J166" s="129"/>
    </row>
    <row r="167" spans="1:10" ht="32.25" thickBot="1" x14ac:dyDescent="0.3">
      <c r="A167" s="977"/>
      <c r="B167" s="124"/>
      <c r="C167" s="828" t="s">
        <v>29</v>
      </c>
      <c r="D167" s="835"/>
      <c r="E167" s="835"/>
      <c r="F167" s="835"/>
      <c r="G167" s="835"/>
      <c r="H167" s="835"/>
      <c r="I167" s="829"/>
      <c r="J167" s="129"/>
    </row>
    <row r="168" spans="1:10" ht="32.25" thickBot="1" x14ac:dyDescent="0.3">
      <c r="A168" s="977"/>
      <c r="B168" s="124"/>
      <c r="C168" s="125"/>
      <c r="D168" s="125"/>
      <c r="E168" s="125"/>
      <c r="F168" s="130"/>
      <c r="G168" s="125"/>
      <c r="H168" s="125"/>
      <c r="I168" s="125"/>
      <c r="J168" s="129"/>
    </row>
    <row r="169" spans="1:10" ht="120.75" customHeight="1" x14ac:dyDescent="0.25">
      <c r="A169" s="977"/>
      <c r="B169" s="124"/>
      <c r="C169" s="54" t="s">
        <v>30</v>
      </c>
      <c r="D169" s="55" t="s">
        <v>31</v>
      </c>
      <c r="E169" s="55" t="s">
        <v>32</v>
      </c>
      <c r="F169" s="56" t="s">
        <v>640</v>
      </c>
      <c r="G169" s="55" t="s">
        <v>33</v>
      </c>
      <c r="H169" s="55" t="s">
        <v>34</v>
      </c>
      <c r="I169" s="57" t="s">
        <v>35</v>
      </c>
      <c r="J169" s="129"/>
    </row>
    <row r="170" spans="1:10" x14ac:dyDescent="0.25">
      <c r="A170" s="977"/>
      <c r="B170" s="124"/>
      <c r="C170" s="58" t="s">
        <v>36</v>
      </c>
      <c r="D170" s="59"/>
      <c r="E170" s="59"/>
      <c r="F170" s="60"/>
      <c r="G170" s="59"/>
      <c r="H170" s="61"/>
      <c r="I170" s="61"/>
      <c r="J170" s="129"/>
    </row>
    <row r="171" spans="1:10" x14ac:dyDescent="0.25">
      <c r="A171" s="977"/>
      <c r="B171" s="124"/>
      <c r="C171" s="62" t="s">
        <v>112</v>
      </c>
      <c r="D171" s="650">
        <v>4</v>
      </c>
      <c r="E171" s="651">
        <v>3</v>
      </c>
      <c r="F171" s="652">
        <v>2.48</v>
      </c>
      <c r="G171" s="63">
        <f>D171*E171</f>
        <v>12</v>
      </c>
      <c r="H171" s="64">
        <f>H60*'Plantel produtivo'!$D$46</f>
        <v>13.64380701369863</v>
      </c>
      <c r="I171" s="65">
        <f>(G171*('Plantel produtivo'!$D$9*'Plantel produtivo'!$D$26)/(365/7))</f>
        <v>165.12328767123287</v>
      </c>
      <c r="J171" s="129"/>
    </row>
    <row r="172" spans="1:10" x14ac:dyDescent="0.25">
      <c r="A172" s="977"/>
      <c r="B172" s="124"/>
      <c r="C172" s="66" t="s">
        <v>119</v>
      </c>
      <c r="D172" s="307">
        <f>'Plantel produtivo'!$D$43</f>
        <v>24</v>
      </c>
      <c r="E172" s="654">
        <v>7</v>
      </c>
      <c r="F172" s="655">
        <f>F171</f>
        <v>2.48</v>
      </c>
      <c r="G172" s="67">
        <f>D172*E172</f>
        <v>168</v>
      </c>
      <c r="H172" s="68">
        <f>H60*'Plantel produtivo'!$D$46</f>
        <v>13.64380701369863</v>
      </c>
      <c r="I172" s="79">
        <f>(G172*('Plantel produtivo'!$D$9*'Plantel produtivo'!$D$26)/(365/7))</f>
        <v>2311.7260273972602</v>
      </c>
      <c r="J172" s="129"/>
    </row>
    <row r="173" spans="1:10" x14ac:dyDescent="0.25">
      <c r="A173" s="977"/>
      <c r="B173" s="124"/>
      <c r="C173" s="100" t="s">
        <v>43</v>
      </c>
      <c r="D173" s="293"/>
      <c r="E173" s="102"/>
      <c r="F173" s="103"/>
      <c r="G173" s="63"/>
      <c r="H173" s="64"/>
      <c r="I173" s="104"/>
      <c r="J173" s="129"/>
    </row>
    <row r="174" spans="1:10" x14ac:dyDescent="0.25">
      <c r="A174" s="977"/>
      <c r="B174" s="124"/>
      <c r="C174" s="62" t="s">
        <v>112</v>
      </c>
      <c r="D174" s="650">
        <v>4</v>
      </c>
      <c r="E174" s="651">
        <v>3</v>
      </c>
      <c r="F174" s="652">
        <f>F171</f>
        <v>2.48</v>
      </c>
      <c r="G174" s="63">
        <f>D174*E174</f>
        <v>12</v>
      </c>
      <c r="H174" s="64">
        <f>H64*'Plantel produtivo'!$D$46</f>
        <v>65.444069011825505</v>
      </c>
      <c r="I174" s="65">
        <f>(G174*('Plantel produtivo'!$D$9*'Plantel produtivo'!$D$49)/(365/7))</f>
        <v>957.15587967183194</v>
      </c>
      <c r="J174" s="129"/>
    </row>
    <row r="175" spans="1:10" x14ac:dyDescent="0.25">
      <c r="A175" s="977"/>
      <c r="B175" s="124"/>
      <c r="C175" s="62" t="s">
        <v>688</v>
      </c>
      <c r="D175" s="294">
        <f>'Plantel produtivo'!$D$43</f>
        <v>24</v>
      </c>
      <c r="E175" s="651">
        <v>7</v>
      </c>
      <c r="F175" s="652">
        <f>F174</f>
        <v>2.48</v>
      </c>
      <c r="G175" s="63">
        <f>D175*E175</f>
        <v>168</v>
      </c>
      <c r="H175" s="64">
        <f>H64*'Plantel produtivo'!$D$46</f>
        <v>65.444069011825505</v>
      </c>
      <c r="I175" s="65">
        <f>(G175*('Plantel produtivo'!$D$9*'Plantel produtivo'!$D$49)/(365/7))</f>
        <v>13400.182315405647</v>
      </c>
      <c r="J175" s="129"/>
    </row>
    <row r="176" spans="1:10" x14ac:dyDescent="0.25">
      <c r="A176" s="977"/>
      <c r="B176" s="124"/>
      <c r="C176" s="62" t="s">
        <v>113</v>
      </c>
      <c r="D176" s="294">
        <f>('Plantel produtivo'!$D$31-'Plantel produtivo'!$D$50)</f>
        <v>29.727607761427304</v>
      </c>
      <c r="E176" s="651">
        <v>2.5</v>
      </c>
      <c r="F176" s="652">
        <v>2.06</v>
      </c>
      <c r="G176" s="63">
        <f>D176*E176</f>
        <v>74.319019403568262</v>
      </c>
      <c r="H176" s="64">
        <f>H8</f>
        <v>15.026219178082192</v>
      </c>
      <c r="I176" s="65">
        <f>(G176*('Plantel produtivo'!$D$9*'Plantel produtivo'!$D$49)/(365/7))</f>
        <v>5927.9071994641945</v>
      </c>
      <c r="J176" s="129"/>
    </row>
    <row r="177" spans="1:10" x14ac:dyDescent="0.25">
      <c r="A177" s="977"/>
      <c r="B177" s="124"/>
      <c r="C177" s="66" t="s">
        <v>120</v>
      </c>
      <c r="D177" s="307">
        <f>'Plantel produtivo'!D50</f>
        <v>7.3</v>
      </c>
      <c r="E177" s="654">
        <v>2.5</v>
      </c>
      <c r="F177" s="655">
        <f>F176</f>
        <v>2.06</v>
      </c>
      <c r="G177" s="67">
        <f>D177*E177</f>
        <v>18.25</v>
      </c>
      <c r="H177" s="68">
        <f>$H$172+$H$175</f>
        <v>79.087876025524139</v>
      </c>
      <c r="I177" s="79">
        <f>(G177*('Plantel produtivo'!$D$9*'Plantel produtivo'!$D$49)/(365/7))</f>
        <v>1455.6745670009111</v>
      </c>
      <c r="J177" s="129"/>
    </row>
    <row r="178" spans="1:10" x14ac:dyDescent="0.25">
      <c r="A178" s="977"/>
      <c r="B178" s="124"/>
      <c r="C178" s="100" t="s">
        <v>121</v>
      </c>
      <c r="D178" s="293"/>
      <c r="E178" s="102"/>
      <c r="F178" s="103"/>
      <c r="G178" s="63"/>
      <c r="H178" s="64"/>
      <c r="I178" s="104"/>
      <c r="J178" s="129"/>
    </row>
    <row r="179" spans="1:10" x14ac:dyDescent="0.25">
      <c r="A179" s="977"/>
      <c r="B179" s="124"/>
      <c r="C179" s="62" t="s">
        <v>903</v>
      </c>
      <c r="D179" s="650">
        <v>12</v>
      </c>
      <c r="E179" s="651">
        <v>0.03</v>
      </c>
      <c r="F179" s="652">
        <v>3.99</v>
      </c>
      <c r="G179" s="63">
        <f>D179*E179</f>
        <v>0.36</v>
      </c>
      <c r="H179" s="64">
        <f>((H175+H172)*'Plantel produtivo'!D51)-(((H175+H172)*'Plantel produtivo'!D51)*(70%*'Plantel produtivo'!D94))</f>
        <v>1055.2600392634456</v>
      </c>
      <c r="I179" s="65">
        <f>G179*H179</f>
        <v>379.89361413484039</v>
      </c>
      <c r="J179" s="129"/>
    </row>
    <row r="180" spans="1:10" x14ac:dyDescent="0.25">
      <c r="A180" s="977"/>
      <c r="B180" s="124"/>
      <c r="C180" s="66" t="s">
        <v>904</v>
      </c>
      <c r="D180" s="653">
        <v>12</v>
      </c>
      <c r="E180" s="657">
        <v>7.0000000000000007E-2</v>
      </c>
      <c r="F180" s="655">
        <f>F179</f>
        <v>3.99</v>
      </c>
      <c r="G180" s="67">
        <f>D180*E180</f>
        <v>0.84000000000000008</v>
      </c>
      <c r="H180" s="68">
        <f>((H175+H172)*'Plantel produtivo'!D51)-(((H175+H172)*'Plantel produtivo'!D51)*'Plantel produtivo'!D94)</f>
        <v>1024.852332689152</v>
      </c>
      <c r="I180" s="79">
        <f>G180*H180</f>
        <v>860.87595945888779</v>
      </c>
      <c r="J180" s="129"/>
    </row>
    <row r="181" spans="1:10" ht="32.25" thickBot="1" x14ac:dyDescent="0.3">
      <c r="A181" s="977"/>
      <c r="B181" s="124"/>
      <c r="C181" s="131"/>
      <c r="D181" s="131"/>
      <c r="E181" s="132"/>
      <c r="F181" s="130"/>
      <c r="G181" s="133"/>
      <c r="H181" s="133"/>
      <c r="I181" s="134"/>
      <c r="J181" s="129"/>
    </row>
    <row r="182" spans="1:10" ht="32.25" thickBot="1" x14ac:dyDescent="0.3">
      <c r="A182" s="977"/>
      <c r="B182" s="124"/>
      <c r="C182" s="125"/>
      <c r="D182" s="828" t="s">
        <v>101</v>
      </c>
      <c r="E182" s="835"/>
      <c r="F182" s="835"/>
      <c r="G182" s="835"/>
      <c r="H182" s="829"/>
      <c r="I182" s="125"/>
      <c r="J182" s="129"/>
    </row>
    <row r="183" spans="1:10" ht="32.25" thickBot="1" x14ac:dyDescent="0.3">
      <c r="A183" s="977"/>
      <c r="B183" s="124"/>
      <c r="C183" s="131"/>
      <c r="D183" s="125"/>
      <c r="E183" s="125"/>
      <c r="F183" s="130"/>
      <c r="G183" s="125"/>
      <c r="H183" s="125"/>
      <c r="I183" s="125"/>
      <c r="J183" s="129"/>
    </row>
    <row r="184" spans="1:10" ht="61.5" x14ac:dyDescent="0.25">
      <c r="A184" s="977"/>
      <c r="B184" s="124"/>
      <c r="C184" s="125"/>
      <c r="D184" s="54" t="s">
        <v>50</v>
      </c>
      <c r="E184" s="55" t="s">
        <v>51</v>
      </c>
      <c r="F184" s="56" t="s">
        <v>639</v>
      </c>
      <c r="G184" s="55" t="s">
        <v>92</v>
      </c>
      <c r="H184" s="57" t="s">
        <v>52</v>
      </c>
      <c r="I184" s="132"/>
      <c r="J184" s="129"/>
    </row>
    <row r="185" spans="1:10" x14ac:dyDescent="0.25">
      <c r="A185" s="977"/>
      <c r="B185" s="124"/>
      <c r="C185" s="125"/>
      <c r="D185" s="70" t="s">
        <v>43</v>
      </c>
      <c r="E185" s="59"/>
      <c r="F185" s="60"/>
      <c r="G185" s="75"/>
      <c r="H185" s="71"/>
      <c r="I185" s="132"/>
      <c r="J185" s="129"/>
    </row>
    <row r="186" spans="1:10" x14ac:dyDescent="0.25">
      <c r="A186" s="977"/>
      <c r="B186" s="124"/>
      <c r="C186" s="125"/>
      <c r="D186" s="72" t="s">
        <v>930</v>
      </c>
      <c r="E186" s="656">
        <v>1</v>
      </c>
      <c r="F186" s="652">
        <v>0</v>
      </c>
      <c r="G186" s="65">
        <f>E186*'Plantel produtivo'!$D$49</f>
        <v>2.3766115379606716</v>
      </c>
      <c r="H186" s="296">
        <f>(E186*$H$174)</f>
        <v>65.444069011825505</v>
      </c>
      <c r="I186" s="132"/>
      <c r="J186" s="129"/>
    </row>
    <row r="187" spans="1:10" x14ac:dyDescent="0.25">
      <c r="A187" s="977"/>
      <c r="B187" s="124"/>
      <c r="C187" s="125"/>
      <c r="D187" s="77" t="s">
        <v>219</v>
      </c>
      <c r="E187" s="657">
        <v>0</v>
      </c>
      <c r="F187" s="655">
        <v>0</v>
      </c>
      <c r="G187" s="79">
        <f>E187*'Plantel produtivo'!$D$49</f>
        <v>0</v>
      </c>
      <c r="H187" s="306">
        <f>(E187*$H$174)</f>
        <v>0</v>
      </c>
      <c r="I187" s="132"/>
      <c r="J187" s="129"/>
    </row>
    <row r="188" spans="1:10" x14ac:dyDescent="0.25">
      <c r="A188" s="977"/>
      <c r="B188" s="124"/>
      <c r="C188" s="125"/>
      <c r="D188" s="106" t="s">
        <v>121</v>
      </c>
      <c r="E188" s="9"/>
      <c r="F188" s="101"/>
      <c r="G188" s="76"/>
      <c r="H188" s="107"/>
      <c r="I188" s="132"/>
      <c r="J188" s="129"/>
    </row>
    <row r="189" spans="1:10" x14ac:dyDescent="0.25">
      <c r="A189" s="977"/>
      <c r="B189" s="124"/>
      <c r="C189" s="125"/>
      <c r="D189" s="72" t="s">
        <v>877</v>
      </c>
      <c r="E189" s="656">
        <v>2</v>
      </c>
      <c r="F189" s="652">
        <v>4.04</v>
      </c>
      <c r="G189" s="65">
        <f>E189</f>
        <v>2</v>
      </c>
      <c r="H189" s="65">
        <f>E189*$H$179</f>
        <v>2110.5200785268912</v>
      </c>
      <c r="I189" s="132"/>
      <c r="J189" s="129"/>
    </row>
    <row r="190" spans="1:10" x14ac:dyDescent="0.25">
      <c r="A190" s="977"/>
      <c r="B190" s="124"/>
      <c r="C190" s="125"/>
      <c r="D190" s="77" t="s">
        <v>875</v>
      </c>
      <c r="E190" s="657">
        <v>1</v>
      </c>
      <c r="F190" s="655">
        <v>2.6</v>
      </c>
      <c r="G190" s="79">
        <f>E190</f>
        <v>1</v>
      </c>
      <c r="H190" s="79">
        <f>E190*H180</f>
        <v>1024.852332689152</v>
      </c>
      <c r="I190" s="132"/>
      <c r="J190" s="129"/>
    </row>
    <row r="191" spans="1:10" x14ac:dyDescent="0.25">
      <c r="A191" s="977"/>
      <c r="B191" s="124"/>
      <c r="C191" s="125"/>
      <c r="D191" s="131"/>
      <c r="E191" s="131"/>
      <c r="F191" s="130"/>
      <c r="G191" s="132"/>
      <c r="H191" s="132"/>
      <c r="I191" s="125"/>
      <c r="J191" s="129"/>
    </row>
    <row r="192" spans="1:10" x14ac:dyDescent="0.25">
      <c r="A192" s="977"/>
      <c r="B192" s="124"/>
      <c r="C192" s="125"/>
      <c r="D192" s="948" t="s">
        <v>122</v>
      </c>
      <c r="E192" s="948"/>
      <c r="F192" s="948"/>
      <c r="G192" s="948"/>
      <c r="H192" s="948"/>
      <c r="I192" s="125"/>
      <c r="J192" s="129"/>
    </row>
    <row r="193" spans="1:10" ht="32.25" thickBot="1" x14ac:dyDescent="0.3">
      <c r="A193" s="977"/>
      <c r="B193" s="124"/>
      <c r="C193" s="125"/>
      <c r="D193" s="125"/>
      <c r="E193" s="125"/>
      <c r="F193" s="130"/>
      <c r="G193" s="125"/>
      <c r="H193" s="125"/>
      <c r="I193" s="125"/>
      <c r="J193" s="129"/>
    </row>
    <row r="194" spans="1:10" ht="123" customHeight="1" x14ac:dyDescent="0.25">
      <c r="A194" s="977"/>
      <c r="B194" s="124"/>
      <c r="C194" s="125"/>
      <c r="D194" s="54" t="s">
        <v>50</v>
      </c>
      <c r="E194" s="55" t="s">
        <v>51</v>
      </c>
      <c r="F194" s="56" t="s">
        <v>639</v>
      </c>
      <c r="G194" s="55" t="s">
        <v>92</v>
      </c>
      <c r="H194" s="57" t="s">
        <v>52</v>
      </c>
      <c r="I194" s="132"/>
      <c r="J194" s="129"/>
    </row>
    <row r="195" spans="1:10" x14ac:dyDescent="0.25">
      <c r="A195" s="977"/>
      <c r="B195" s="124"/>
      <c r="C195" s="125"/>
      <c r="D195" s="70" t="s">
        <v>43</v>
      </c>
      <c r="E195" s="59"/>
      <c r="F195" s="60"/>
      <c r="G195" s="75"/>
      <c r="H195" s="71"/>
      <c r="I195" s="132"/>
      <c r="J195" s="129"/>
    </row>
    <row r="196" spans="1:10" x14ac:dyDescent="0.25">
      <c r="A196" s="977"/>
      <c r="B196" s="124"/>
      <c r="C196" s="125"/>
      <c r="D196" s="72" t="s">
        <v>1061</v>
      </c>
      <c r="E196" s="656">
        <v>3</v>
      </c>
      <c r="F196" s="652">
        <v>7.18</v>
      </c>
      <c r="G196" s="65">
        <f>E196*'Plantel produtivo'!$D$49</f>
        <v>7.1298346138820143</v>
      </c>
      <c r="H196" s="296">
        <f>(E196*$H$174)</f>
        <v>196.33220703547653</v>
      </c>
      <c r="I196" s="132"/>
      <c r="J196" s="129"/>
    </row>
    <row r="197" spans="1:10" x14ac:dyDescent="0.25">
      <c r="A197" s="977"/>
      <c r="B197" s="124"/>
      <c r="C197" s="125"/>
      <c r="D197" s="77" t="s">
        <v>1059</v>
      </c>
      <c r="E197" s="657">
        <v>3</v>
      </c>
      <c r="F197" s="655">
        <v>1.21</v>
      </c>
      <c r="G197" s="79">
        <f>E197*'Plantel produtivo'!$D$49</f>
        <v>7.1298346138820143</v>
      </c>
      <c r="H197" s="306">
        <f>(E197*$H$174)</f>
        <v>196.33220703547653</v>
      </c>
      <c r="I197" s="132"/>
      <c r="J197" s="129"/>
    </row>
    <row r="198" spans="1:10" x14ac:dyDescent="0.25">
      <c r="A198" s="977"/>
      <c r="B198" s="124"/>
      <c r="C198" s="127"/>
      <c r="D198" s="106" t="s">
        <v>121</v>
      </c>
      <c r="E198" s="9"/>
      <c r="F198" s="101"/>
      <c r="G198" s="76"/>
      <c r="H198" s="107"/>
      <c r="I198" s="132"/>
      <c r="J198" s="129"/>
    </row>
    <row r="199" spans="1:10" x14ac:dyDescent="0.25">
      <c r="A199" s="977"/>
      <c r="B199" s="124"/>
      <c r="C199" s="125"/>
      <c r="D199" s="72" t="s">
        <v>1063</v>
      </c>
      <c r="E199" s="656">
        <v>1</v>
      </c>
      <c r="F199" s="652">
        <v>7.0000000000000007E-2</v>
      </c>
      <c r="G199" s="65">
        <f>E199*'Plantel produtivo'!$D$49</f>
        <v>2.3766115379606716</v>
      </c>
      <c r="H199" s="65">
        <f>E199*$H$179</f>
        <v>1055.2600392634456</v>
      </c>
      <c r="I199" s="132"/>
      <c r="J199" s="129"/>
    </row>
    <row r="200" spans="1:10" x14ac:dyDescent="0.25">
      <c r="A200" s="977"/>
      <c r="B200" s="124"/>
      <c r="C200" s="135"/>
      <c r="D200" s="77" t="s">
        <v>109</v>
      </c>
      <c r="E200" s="657">
        <v>0</v>
      </c>
      <c r="F200" s="655">
        <v>0</v>
      </c>
      <c r="G200" s="79">
        <f>E200*'Plantel produtivo'!$D$49</f>
        <v>0</v>
      </c>
      <c r="H200" s="79">
        <f>E200*H190</f>
        <v>0</v>
      </c>
      <c r="I200" s="132"/>
      <c r="J200" s="129"/>
    </row>
    <row r="201" spans="1:10" ht="32.25" thickBot="1" x14ac:dyDescent="0.3">
      <c r="A201" s="977"/>
      <c r="B201" s="124"/>
      <c r="C201" s="126"/>
      <c r="D201" s="127"/>
      <c r="E201" s="127"/>
      <c r="F201" s="128"/>
      <c r="G201" s="127"/>
      <c r="H201" s="127"/>
      <c r="I201" s="127"/>
      <c r="J201" s="129"/>
    </row>
    <row r="202" spans="1:10" ht="32.25" thickBot="1" x14ac:dyDescent="0.3">
      <c r="A202" s="977"/>
      <c r="B202" s="136"/>
      <c r="C202" s="828" t="s">
        <v>71</v>
      </c>
      <c r="D202" s="835"/>
      <c r="E202" s="835"/>
      <c r="F202" s="835"/>
      <c r="G202" s="835"/>
      <c r="H202" s="835"/>
      <c r="I202" s="829"/>
      <c r="J202" s="129"/>
    </row>
    <row r="203" spans="1:10" ht="32.25" thickBot="1" x14ac:dyDescent="0.3">
      <c r="A203" s="977"/>
      <c r="B203" s="124"/>
      <c r="C203" s="131"/>
      <c r="D203" s="137"/>
      <c r="E203" s="137"/>
      <c r="F203" s="6"/>
      <c r="G203" s="138"/>
      <c r="H203" s="139"/>
      <c r="I203" s="140"/>
      <c r="J203" s="129"/>
    </row>
    <row r="204" spans="1:10" ht="61.5" x14ac:dyDescent="0.25">
      <c r="A204" s="977"/>
      <c r="B204" s="124"/>
      <c r="C204" s="952" t="s">
        <v>72</v>
      </c>
      <c r="D204" s="953"/>
      <c r="E204" s="55" t="s">
        <v>73</v>
      </c>
      <c r="F204" s="56" t="s">
        <v>641</v>
      </c>
      <c r="G204" s="55" t="s">
        <v>74</v>
      </c>
      <c r="H204" s="55" t="s">
        <v>123</v>
      </c>
      <c r="I204" s="57" t="s">
        <v>75</v>
      </c>
      <c r="J204" s="129"/>
    </row>
    <row r="205" spans="1:10" x14ac:dyDescent="0.25">
      <c r="A205" s="977"/>
      <c r="B205" s="124"/>
      <c r="C205" s="922" t="s">
        <v>76</v>
      </c>
      <c r="D205" s="923"/>
      <c r="E205" s="59"/>
      <c r="F205" s="81"/>
      <c r="G205" s="59"/>
      <c r="H205" s="61"/>
      <c r="I205" s="61"/>
      <c r="J205" s="129"/>
    </row>
    <row r="206" spans="1:10" x14ac:dyDescent="0.25">
      <c r="A206" s="977"/>
      <c r="B206" s="124"/>
      <c r="C206" s="933" t="s">
        <v>384</v>
      </c>
      <c r="D206" s="934"/>
      <c r="E206" s="9" t="s">
        <v>77</v>
      </c>
      <c r="F206" s="658">
        <v>2386.75</v>
      </c>
      <c r="G206" s="656">
        <v>1</v>
      </c>
      <c r="H206" s="659">
        <v>8</v>
      </c>
      <c r="I206" s="82">
        <f>(G206*H206)*5.5</f>
        <v>44</v>
      </c>
      <c r="J206" s="129"/>
    </row>
    <row r="207" spans="1:10" x14ac:dyDescent="0.25">
      <c r="A207" s="977"/>
      <c r="B207" s="124"/>
      <c r="C207" s="933" t="s">
        <v>385</v>
      </c>
      <c r="D207" s="934"/>
      <c r="E207" s="9" t="s">
        <v>78</v>
      </c>
      <c r="F207" s="658">
        <v>1785.02</v>
      </c>
      <c r="G207" s="656">
        <v>11</v>
      </c>
      <c r="H207" s="659">
        <v>8</v>
      </c>
      <c r="I207" s="82">
        <f>(G207*H207)*5.5</f>
        <v>484</v>
      </c>
      <c r="J207" s="129"/>
    </row>
    <row r="208" spans="1:10" x14ac:dyDescent="0.25">
      <c r="A208" s="977"/>
      <c r="B208" s="124"/>
      <c r="C208" s="289" t="s">
        <v>730</v>
      </c>
      <c r="D208" s="290"/>
      <c r="E208" s="9"/>
      <c r="F208" s="658">
        <v>0</v>
      </c>
      <c r="G208" s="656">
        <v>0</v>
      </c>
      <c r="H208" s="659">
        <v>0</v>
      </c>
      <c r="I208" s="82">
        <f>(G208*H208)*5.5</f>
        <v>0</v>
      </c>
      <c r="J208" s="129"/>
    </row>
    <row r="209" spans="1:10" x14ac:dyDescent="0.25">
      <c r="A209" s="977"/>
      <c r="B209" s="124"/>
      <c r="C209" s="922" t="s">
        <v>80</v>
      </c>
      <c r="D209" s="923"/>
      <c r="E209" s="59"/>
      <c r="F209" s="315"/>
      <c r="G209" s="85"/>
      <c r="H209" s="86"/>
      <c r="I209" s="87"/>
      <c r="J209" s="129"/>
    </row>
    <row r="210" spans="1:10" x14ac:dyDescent="0.25">
      <c r="A210" s="977"/>
      <c r="B210" s="124"/>
      <c r="C210" s="946" t="s">
        <v>1069</v>
      </c>
      <c r="D210" s="947"/>
      <c r="E210" s="89"/>
      <c r="F210" s="660">
        <v>83.78</v>
      </c>
      <c r="G210" s="657">
        <v>1</v>
      </c>
      <c r="H210" s="661">
        <v>8</v>
      </c>
      <c r="I210" s="514">
        <f>(G210*H210)*2</f>
        <v>16</v>
      </c>
      <c r="J210" s="129"/>
    </row>
    <row r="211" spans="1:10" ht="32.25" thickBot="1" x14ac:dyDescent="0.3">
      <c r="A211" s="977"/>
      <c r="B211" s="124"/>
      <c r="C211" s="125"/>
      <c r="D211" s="125"/>
      <c r="E211" s="125"/>
      <c r="F211" s="130"/>
      <c r="G211" s="125"/>
      <c r="H211" s="125"/>
      <c r="I211" s="125"/>
      <c r="J211" s="129"/>
    </row>
    <row r="212" spans="1:10" ht="32.25" thickBot="1" x14ac:dyDescent="0.3">
      <c r="A212" s="977"/>
      <c r="B212" s="124"/>
      <c r="C212" s="125"/>
      <c r="D212" s="828" t="s">
        <v>917</v>
      </c>
      <c r="E212" s="835"/>
      <c r="F212" s="835"/>
      <c r="G212" s="835"/>
      <c r="H212" s="829"/>
      <c r="I212" s="125"/>
      <c r="J212" s="129"/>
    </row>
    <row r="213" spans="1:10" ht="32.25" thickBot="1" x14ac:dyDescent="0.3">
      <c r="A213" s="977"/>
      <c r="B213" s="124"/>
      <c r="C213" s="125"/>
      <c r="D213" s="125"/>
      <c r="E213" s="125"/>
      <c r="F213" s="130"/>
      <c r="G213" s="132"/>
      <c r="H213" s="125"/>
      <c r="I213" s="125"/>
      <c r="J213" s="129"/>
    </row>
    <row r="214" spans="1:10" ht="62.25" thickBot="1" x14ac:dyDescent="0.3">
      <c r="A214" s="977"/>
      <c r="B214" s="124"/>
      <c r="C214" s="125"/>
      <c r="D214" s="90" t="s">
        <v>11</v>
      </c>
      <c r="E214" s="91"/>
      <c r="F214" s="56" t="s">
        <v>642</v>
      </c>
      <c r="G214" s="55" t="s">
        <v>13</v>
      </c>
      <c r="H214" s="57" t="s">
        <v>81</v>
      </c>
      <c r="I214" s="125"/>
      <c r="J214" s="129"/>
    </row>
    <row r="215" spans="1:10" ht="31.5" customHeight="1" x14ac:dyDescent="0.2">
      <c r="A215" s="977"/>
      <c r="B215" s="124"/>
      <c r="C215" s="125"/>
      <c r="D215" s="972" t="s">
        <v>1047</v>
      </c>
      <c r="E215" s="973"/>
      <c r="F215" s="662">
        <f>F151</f>
        <v>45.43</v>
      </c>
      <c r="G215" s="663">
        <v>12</v>
      </c>
      <c r="H215" s="603" t="s">
        <v>918</v>
      </c>
      <c r="I215" s="125"/>
      <c r="J215" s="129"/>
    </row>
    <row r="216" spans="1:10" x14ac:dyDescent="0.2">
      <c r="A216" s="977"/>
      <c r="B216" s="124"/>
      <c r="C216" s="125"/>
      <c r="D216" s="935" t="s">
        <v>1048</v>
      </c>
      <c r="E216" s="936"/>
      <c r="F216" s="658">
        <f t="shared" ref="F216:F218" si="3">F152</f>
        <v>45.43</v>
      </c>
      <c r="G216" s="664">
        <v>2</v>
      </c>
      <c r="H216" s="603" t="s">
        <v>918</v>
      </c>
      <c r="I216" s="125"/>
      <c r="J216" s="129"/>
    </row>
    <row r="217" spans="1:10" x14ac:dyDescent="0.2">
      <c r="A217" s="977"/>
      <c r="B217" s="124"/>
      <c r="C217" s="125"/>
      <c r="D217" s="935" t="s">
        <v>1049</v>
      </c>
      <c r="E217" s="936"/>
      <c r="F217" s="658">
        <f t="shared" si="3"/>
        <v>96.68</v>
      </c>
      <c r="G217" s="664">
        <v>2</v>
      </c>
      <c r="H217" s="603" t="s">
        <v>918</v>
      </c>
      <c r="I217" s="125"/>
      <c r="J217" s="129"/>
    </row>
    <row r="218" spans="1:10" x14ac:dyDescent="0.2">
      <c r="A218" s="977"/>
      <c r="B218" s="124"/>
      <c r="C218" s="125"/>
      <c r="D218" s="935" t="s">
        <v>1072</v>
      </c>
      <c r="E218" s="936"/>
      <c r="F218" s="658">
        <f t="shared" si="3"/>
        <v>0.19</v>
      </c>
      <c r="G218" s="669">
        <f>H186*4</f>
        <v>261.77627604730202</v>
      </c>
      <c r="H218" s="603" t="s">
        <v>1074</v>
      </c>
      <c r="I218" s="125"/>
      <c r="J218" s="129"/>
    </row>
    <row r="219" spans="1:10" ht="63" customHeight="1" x14ac:dyDescent="0.2">
      <c r="A219" s="977"/>
      <c r="B219" s="124"/>
      <c r="C219" s="125"/>
      <c r="D219" s="935" t="s">
        <v>1076</v>
      </c>
      <c r="E219" s="936"/>
      <c r="F219" s="658">
        <v>0.2</v>
      </c>
      <c r="G219" s="669">
        <f>(H199+H190+H189)*2</f>
        <v>8381.2649009589768</v>
      </c>
      <c r="H219" s="603" t="s">
        <v>1074</v>
      </c>
      <c r="I219" s="125"/>
      <c r="J219" s="129"/>
    </row>
    <row r="220" spans="1:10" x14ac:dyDescent="0.25">
      <c r="A220" s="977"/>
      <c r="B220" s="124"/>
      <c r="C220" s="125"/>
      <c r="D220" s="597" t="s">
        <v>1050</v>
      </c>
      <c r="E220" s="598"/>
      <c r="F220" s="658">
        <v>3.37</v>
      </c>
      <c r="G220" s="664">
        <v>24</v>
      </c>
      <c r="H220" s="603" t="s">
        <v>1074</v>
      </c>
      <c r="I220" s="125"/>
      <c r="J220" s="129"/>
    </row>
    <row r="221" spans="1:10" ht="63" customHeight="1" x14ac:dyDescent="0.2">
      <c r="A221" s="977"/>
      <c r="B221" s="124"/>
      <c r="C221" s="125"/>
      <c r="D221" s="935" t="s">
        <v>1077</v>
      </c>
      <c r="E221" s="936"/>
      <c r="F221" s="658">
        <v>0.48</v>
      </c>
      <c r="G221" s="669">
        <f>G219/2</f>
        <v>4190.6324504794884</v>
      </c>
      <c r="H221" s="603" t="s">
        <v>1074</v>
      </c>
      <c r="I221" s="125"/>
      <c r="J221" s="129"/>
    </row>
    <row r="222" spans="1:10" x14ac:dyDescent="0.25">
      <c r="A222" s="977"/>
      <c r="B222" s="124"/>
      <c r="C222" s="125"/>
      <c r="D222" s="597" t="s">
        <v>992</v>
      </c>
      <c r="E222" s="599"/>
      <c r="F222" s="658">
        <v>13.28</v>
      </c>
      <c r="G222" s="664">
        <v>32</v>
      </c>
      <c r="H222" s="603" t="s">
        <v>1074</v>
      </c>
      <c r="I222" s="125"/>
      <c r="J222" s="129"/>
    </row>
    <row r="223" spans="1:10" x14ac:dyDescent="0.25">
      <c r="A223" s="977"/>
      <c r="B223" s="124"/>
      <c r="C223" s="125"/>
      <c r="D223" s="597" t="s">
        <v>1026</v>
      </c>
      <c r="E223" s="599"/>
      <c r="F223" s="658">
        <v>3.44</v>
      </c>
      <c r="G223" s="664">
        <v>40</v>
      </c>
      <c r="H223" s="603" t="s">
        <v>1074</v>
      </c>
      <c r="I223" s="125"/>
      <c r="J223" s="129"/>
    </row>
    <row r="224" spans="1:10" x14ac:dyDescent="0.25">
      <c r="A224" s="977"/>
      <c r="B224" s="124"/>
      <c r="C224" s="125"/>
      <c r="D224" s="597" t="s">
        <v>1027</v>
      </c>
      <c r="E224" s="599"/>
      <c r="F224" s="658">
        <v>24.3</v>
      </c>
      <c r="G224" s="664">
        <v>10</v>
      </c>
      <c r="H224" s="603" t="s">
        <v>1074</v>
      </c>
      <c r="I224" s="125"/>
      <c r="J224" s="129"/>
    </row>
    <row r="225" spans="1:10" x14ac:dyDescent="0.25">
      <c r="A225" s="977"/>
      <c r="B225" s="124"/>
      <c r="C225" s="125"/>
      <c r="D225" s="601" t="s">
        <v>1046</v>
      </c>
      <c r="E225" s="602"/>
      <c r="F225" s="660">
        <v>0</v>
      </c>
      <c r="G225" s="666">
        <v>0</v>
      </c>
      <c r="H225" s="604"/>
      <c r="I225" s="125"/>
      <c r="J225" s="129"/>
    </row>
    <row r="226" spans="1:10" ht="32.25" thickBot="1" x14ac:dyDescent="0.3">
      <c r="A226" s="977"/>
      <c r="B226" s="124"/>
      <c r="C226" s="125"/>
      <c r="D226" s="125"/>
      <c r="E226" s="125"/>
      <c r="F226" s="130"/>
      <c r="G226" s="125"/>
      <c r="H226" s="125"/>
      <c r="I226" s="125"/>
      <c r="J226" s="129"/>
    </row>
    <row r="227" spans="1:10" ht="32.25" thickBot="1" x14ac:dyDescent="0.3">
      <c r="A227" s="281"/>
      <c r="B227" s="927" t="s">
        <v>926</v>
      </c>
      <c r="C227" s="928"/>
      <c r="D227" s="928"/>
      <c r="E227" s="928"/>
      <c r="F227" s="928"/>
      <c r="G227" s="929"/>
      <c r="H227" s="978">
        <f>(SUM('Custo de produção por lotes'!L36:M36,'Custo de produção por lotes'!L109:M109,'Custo de produção por lotes'!L193:M193)/(H175+H172))</f>
        <v>961.92904045298053</v>
      </c>
      <c r="I227" s="979"/>
      <c r="J227" s="980"/>
    </row>
    <row r="228" spans="1:10" ht="32.25" thickBot="1" x14ac:dyDescent="0.3">
      <c r="D228" s="4"/>
      <c r="E228" s="4"/>
      <c r="F228" s="141"/>
      <c r="G228" s="4"/>
      <c r="H228" s="4"/>
    </row>
    <row r="229" spans="1:10" ht="38.25" thickBot="1" x14ac:dyDescent="0.3">
      <c r="B229" s="924" t="s">
        <v>124</v>
      </c>
      <c r="C229" s="925"/>
      <c r="D229" s="925"/>
      <c r="E229" s="925"/>
      <c r="F229" s="925"/>
      <c r="G229" s="925"/>
      <c r="H229" s="925"/>
      <c r="I229" s="925"/>
      <c r="J229" s="926"/>
    </row>
    <row r="230" spans="1:10" ht="32.25" thickBot="1" x14ac:dyDescent="0.3">
      <c r="A230" s="954" t="s">
        <v>232</v>
      </c>
      <c r="B230" s="142"/>
      <c r="C230" s="143"/>
      <c r="D230" s="143"/>
      <c r="E230" s="144"/>
      <c r="F230" s="145"/>
      <c r="G230" s="143"/>
      <c r="H230" s="143"/>
      <c r="I230" s="143"/>
      <c r="J230" s="146"/>
    </row>
    <row r="231" spans="1:10" ht="32.25" thickBot="1" x14ac:dyDescent="0.3">
      <c r="A231" s="954"/>
      <c r="B231" s="142"/>
      <c r="C231" s="828" t="s">
        <v>29</v>
      </c>
      <c r="D231" s="835"/>
      <c r="E231" s="835"/>
      <c r="F231" s="835"/>
      <c r="G231" s="835"/>
      <c r="H231" s="835"/>
      <c r="I231" s="829"/>
      <c r="J231" s="146"/>
    </row>
    <row r="232" spans="1:10" ht="32.25" thickBot="1" x14ac:dyDescent="0.3">
      <c r="A232" s="954"/>
      <c r="B232" s="142"/>
      <c r="C232" s="147"/>
      <c r="D232" s="147"/>
      <c r="E232" s="144"/>
      <c r="F232" s="145"/>
      <c r="G232" s="144"/>
      <c r="H232" s="144"/>
      <c r="I232" s="144"/>
      <c r="J232" s="146"/>
    </row>
    <row r="233" spans="1:10" ht="144.75" customHeight="1" x14ac:dyDescent="0.25">
      <c r="A233" s="954"/>
      <c r="B233" s="142"/>
      <c r="C233" s="54" t="s">
        <v>30</v>
      </c>
      <c r="D233" s="55" t="s">
        <v>31</v>
      </c>
      <c r="E233" s="55" t="s">
        <v>32</v>
      </c>
      <c r="F233" s="56" t="s">
        <v>640</v>
      </c>
      <c r="G233" s="55" t="s">
        <v>33</v>
      </c>
      <c r="H233" s="55" t="s">
        <v>34</v>
      </c>
      <c r="I233" s="57" t="s">
        <v>35</v>
      </c>
      <c r="J233" s="146"/>
    </row>
    <row r="234" spans="1:10" x14ac:dyDescent="0.25">
      <c r="A234" s="954"/>
      <c r="B234" s="142"/>
      <c r="C234" s="58" t="s">
        <v>121</v>
      </c>
      <c r="D234" s="59"/>
      <c r="E234" s="59"/>
      <c r="F234" s="60"/>
      <c r="G234" s="59"/>
      <c r="H234" s="61"/>
      <c r="I234" s="61"/>
      <c r="J234" s="146"/>
    </row>
    <row r="235" spans="1:10" x14ac:dyDescent="0.25">
      <c r="A235" s="954"/>
      <c r="B235" s="142"/>
      <c r="C235" s="62" t="s">
        <v>690</v>
      </c>
      <c r="D235" s="650">
        <v>6</v>
      </c>
      <c r="E235" s="651">
        <v>0.18</v>
      </c>
      <c r="F235" s="652">
        <v>3.99</v>
      </c>
      <c r="G235" s="63">
        <f>D235*E235</f>
        <v>1.08</v>
      </c>
      <c r="H235" s="64">
        <f>H180</f>
        <v>1024.852332689152</v>
      </c>
      <c r="I235" s="65">
        <f>H235*G235</f>
        <v>1106.8405193042843</v>
      </c>
      <c r="J235" s="146"/>
    </row>
    <row r="236" spans="1:10" x14ac:dyDescent="0.25">
      <c r="A236" s="954"/>
      <c r="B236" s="142"/>
      <c r="C236" s="62" t="s">
        <v>689</v>
      </c>
      <c r="D236" s="650">
        <v>6</v>
      </c>
      <c r="E236" s="651">
        <v>0.35</v>
      </c>
      <c r="F236" s="652">
        <f>F235</f>
        <v>3.99</v>
      </c>
      <c r="G236" s="63">
        <f>D236*E236</f>
        <v>2.0999999999999996</v>
      </c>
      <c r="H236" s="64">
        <f>H235-(H235*'Plantel produtivo'!D95)</f>
        <v>994.1067627084775</v>
      </c>
      <c r="I236" s="65">
        <f>G236*H236</f>
        <v>2087.6242016878023</v>
      </c>
      <c r="J236" s="146"/>
    </row>
    <row r="237" spans="1:10" x14ac:dyDescent="0.25">
      <c r="A237" s="954"/>
      <c r="B237" s="142"/>
      <c r="C237" s="62" t="s">
        <v>691</v>
      </c>
      <c r="D237" s="650">
        <v>7</v>
      </c>
      <c r="E237" s="651">
        <v>0.68</v>
      </c>
      <c r="F237" s="652">
        <v>2.99</v>
      </c>
      <c r="G237" s="63">
        <f>D237*E237</f>
        <v>4.7600000000000007</v>
      </c>
      <c r="H237" s="64">
        <f>$H$236-($H$236*'Plantel produtivo'!$D$96)</f>
        <v>974.22462745430801</v>
      </c>
      <c r="I237" s="65">
        <f>G237*H237</f>
        <v>4637.309226682507</v>
      </c>
      <c r="J237" s="146"/>
    </row>
    <row r="238" spans="1:10" x14ac:dyDescent="0.25">
      <c r="A238" s="954"/>
      <c r="B238" s="142"/>
      <c r="C238" s="66" t="s">
        <v>1054</v>
      </c>
      <c r="D238" s="653">
        <v>18</v>
      </c>
      <c r="E238" s="654">
        <v>0.99299999999999999</v>
      </c>
      <c r="F238" s="655">
        <v>2.5299999999999998</v>
      </c>
      <c r="G238" s="67">
        <f>D238*E238</f>
        <v>17.873999999999999</v>
      </c>
      <c r="H238" s="68">
        <f>$H$236-($H$236*'Plantel produtivo'!$D$96)</f>
        <v>974.22462745430801</v>
      </c>
      <c r="I238" s="79">
        <f>G238*H238</f>
        <v>17413.290991118301</v>
      </c>
      <c r="J238" s="146"/>
    </row>
    <row r="239" spans="1:10" ht="32.25" thickBot="1" x14ac:dyDescent="0.3">
      <c r="A239" s="954"/>
      <c r="B239" s="142"/>
      <c r="C239" s="143"/>
      <c r="D239" s="148"/>
      <c r="E239" s="148"/>
      <c r="F239" s="149"/>
      <c r="G239" s="148"/>
      <c r="H239" s="148"/>
      <c r="I239" s="143"/>
      <c r="J239" s="146"/>
    </row>
    <row r="240" spans="1:10" ht="32.25" thickBot="1" x14ac:dyDescent="0.3">
      <c r="A240" s="954"/>
      <c r="B240" s="142"/>
      <c r="C240" s="143"/>
      <c r="D240" s="828" t="s">
        <v>101</v>
      </c>
      <c r="E240" s="835"/>
      <c r="F240" s="835"/>
      <c r="G240" s="835"/>
      <c r="H240" s="829"/>
      <c r="I240" s="143"/>
      <c r="J240" s="146"/>
    </row>
    <row r="241" spans="1:10" ht="32.25" thickBot="1" x14ac:dyDescent="0.3">
      <c r="A241" s="954"/>
      <c r="B241" s="142"/>
      <c r="C241" s="143"/>
      <c r="D241" s="143"/>
      <c r="E241" s="144"/>
      <c r="F241" s="145"/>
      <c r="G241" s="143"/>
      <c r="H241" s="143"/>
      <c r="I241" s="143"/>
      <c r="J241" s="146"/>
    </row>
    <row r="242" spans="1:10" ht="128.25" customHeight="1" x14ac:dyDescent="0.25">
      <c r="A242" s="954"/>
      <c r="B242" s="142"/>
      <c r="C242" s="143"/>
      <c r="D242" s="54" t="s">
        <v>50</v>
      </c>
      <c r="E242" s="55" t="s">
        <v>51</v>
      </c>
      <c r="F242" s="56" t="s">
        <v>639</v>
      </c>
      <c r="G242" s="55" t="s">
        <v>92</v>
      </c>
      <c r="H242" s="57" t="s">
        <v>52</v>
      </c>
      <c r="I242" s="143"/>
      <c r="J242" s="146"/>
    </row>
    <row r="243" spans="1:10" x14ac:dyDescent="0.25">
      <c r="A243" s="954"/>
      <c r="B243" s="142"/>
      <c r="C243" s="143"/>
      <c r="D243" s="70" t="s">
        <v>121</v>
      </c>
      <c r="E243" s="59"/>
      <c r="F243" s="60"/>
      <c r="G243" s="75"/>
      <c r="H243" s="71"/>
      <c r="I243" s="143"/>
      <c r="J243" s="146"/>
    </row>
    <row r="244" spans="1:10" x14ac:dyDescent="0.25">
      <c r="A244" s="954"/>
      <c r="B244" s="142"/>
      <c r="C244" s="143"/>
      <c r="D244" s="72" t="s">
        <v>929</v>
      </c>
      <c r="E244" s="656">
        <v>1</v>
      </c>
      <c r="F244" s="652">
        <v>0</v>
      </c>
      <c r="G244" s="65">
        <f>E244*'Plantel produtivo'!$D$49</f>
        <v>2.3766115379606716</v>
      </c>
      <c r="H244" s="65">
        <f>E244*$H$235</f>
        <v>1024.852332689152</v>
      </c>
      <c r="I244" s="143"/>
      <c r="J244" s="146"/>
    </row>
    <row r="245" spans="1:10" x14ac:dyDescent="0.25">
      <c r="A245" s="954"/>
      <c r="B245" s="142"/>
      <c r="C245" s="143"/>
      <c r="D245" s="72" t="s">
        <v>698</v>
      </c>
      <c r="E245" s="656">
        <v>0</v>
      </c>
      <c r="F245" s="652">
        <v>0</v>
      </c>
      <c r="G245" s="65">
        <f>E245*'Plantel produtivo'!$D$49</f>
        <v>0</v>
      </c>
      <c r="H245" s="65">
        <f>E245*H236</f>
        <v>0</v>
      </c>
      <c r="I245" s="143"/>
      <c r="J245" s="146"/>
    </row>
    <row r="246" spans="1:10" x14ac:dyDescent="0.25">
      <c r="A246" s="954"/>
      <c r="B246" s="142"/>
      <c r="C246" s="143"/>
      <c r="D246" s="72" t="s">
        <v>699</v>
      </c>
      <c r="E246" s="656">
        <v>0</v>
      </c>
      <c r="F246" s="652">
        <v>0</v>
      </c>
      <c r="G246" s="65">
        <f>E246*'Plantel produtivo'!$D$49</f>
        <v>0</v>
      </c>
      <c r="H246" s="65">
        <f>E246*H237</f>
        <v>0</v>
      </c>
      <c r="I246" s="143"/>
      <c r="J246" s="146"/>
    </row>
    <row r="247" spans="1:10" x14ac:dyDescent="0.25">
      <c r="A247" s="954"/>
      <c r="B247" s="142"/>
      <c r="C247" s="143"/>
      <c r="D247" s="77" t="s">
        <v>700</v>
      </c>
      <c r="E247" s="657">
        <v>0</v>
      </c>
      <c r="F247" s="655">
        <v>0</v>
      </c>
      <c r="G247" s="79">
        <f>E247*'Plantel produtivo'!$D$49</f>
        <v>0</v>
      </c>
      <c r="H247" s="79">
        <f>E247*H238</f>
        <v>0</v>
      </c>
      <c r="I247" s="143"/>
      <c r="J247" s="146"/>
    </row>
    <row r="248" spans="1:10" ht="32.25" thickBot="1" x14ac:dyDescent="0.3">
      <c r="A248" s="954"/>
      <c r="B248" s="142"/>
      <c r="C248" s="143"/>
      <c r="D248" s="143"/>
      <c r="E248" s="143"/>
      <c r="F248" s="145"/>
      <c r="G248" s="143"/>
      <c r="H248" s="143"/>
      <c r="I248" s="143"/>
      <c r="J248" s="146"/>
    </row>
    <row r="249" spans="1:10" ht="32.25" thickBot="1" x14ac:dyDescent="0.3">
      <c r="A249" s="954"/>
      <c r="B249" s="142"/>
      <c r="C249" s="143"/>
      <c r="D249" s="828" t="s">
        <v>107</v>
      </c>
      <c r="E249" s="835"/>
      <c r="F249" s="835"/>
      <c r="G249" s="835"/>
      <c r="H249" s="829"/>
      <c r="I249" s="143"/>
      <c r="J249" s="146"/>
    </row>
    <row r="250" spans="1:10" ht="32.25" thickBot="1" x14ac:dyDescent="0.3">
      <c r="A250" s="954"/>
      <c r="B250" s="142"/>
      <c r="C250" s="143"/>
      <c r="D250" s="143"/>
      <c r="E250" s="144"/>
      <c r="F250" s="145"/>
      <c r="G250" s="143"/>
      <c r="H250" s="143"/>
      <c r="I250" s="143"/>
      <c r="J250" s="146"/>
    </row>
    <row r="251" spans="1:10" ht="139.5" customHeight="1" x14ac:dyDescent="0.25">
      <c r="A251" s="954"/>
      <c r="B251" s="142"/>
      <c r="C251" s="143"/>
      <c r="D251" s="54" t="s">
        <v>50</v>
      </c>
      <c r="E251" s="55" t="s">
        <v>51</v>
      </c>
      <c r="F251" s="56" t="s">
        <v>639</v>
      </c>
      <c r="G251" s="55" t="s">
        <v>92</v>
      </c>
      <c r="H251" s="57" t="s">
        <v>52</v>
      </c>
      <c r="I251" s="143"/>
      <c r="J251" s="146"/>
    </row>
    <row r="252" spans="1:10" x14ac:dyDescent="0.25">
      <c r="A252" s="954"/>
      <c r="B252" s="142"/>
      <c r="C252" s="143"/>
      <c r="D252" s="70" t="s">
        <v>121</v>
      </c>
      <c r="E252" s="59"/>
      <c r="F252" s="60"/>
      <c r="G252" s="75"/>
      <c r="H252" s="71"/>
      <c r="I252" s="143"/>
      <c r="J252" s="146"/>
    </row>
    <row r="253" spans="1:10" x14ac:dyDescent="0.25">
      <c r="A253" s="954"/>
      <c r="B253" s="142"/>
      <c r="C253" s="143"/>
      <c r="D253" s="72" t="s">
        <v>1064</v>
      </c>
      <c r="E253" s="656">
        <v>2</v>
      </c>
      <c r="F253" s="652">
        <v>0.66</v>
      </c>
      <c r="G253" s="65">
        <f>E253*'Plantel produtivo'!$D$49</f>
        <v>4.7532230759213432</v>
      </c>
      <c r="H253" s="65">
        <f>E253*$H$235</f>
        <v>2049.7046653783041</v>
      </c>
      <c r="I253" s="143"/>
      <c r="J253" s="146"/>
    </row>
    <row r="254" spans="1:10" x14ac:dyDescent="0.25">
      <c r="A254" s="954"/>
      <c r="B254" s="142"/>
      <c r="C254" s="143"/>
      <c r="D254" s="72" t="s">
        <v>1065</v>
      </c>
      <c r="E254" s="656">
        <v>1</v>
      </c>
      <c r="F254" s="652">
        <v>1.78</v>
      </c>
      <c r="G254" s="65">
        <f>E254*'Plantel produtivo'!$D$49</f>
        <v>2.3766115379606716</v>
      </c>
      <c r="H254" s="65">
        <f>E254*H236</f>
        <v>994.1067627084775</v>
      </c>
      <c r="I254" s="143"/>
      <c r="J254" s="146"/>
    </row>
    <row r="255" spans="1:10" x14ac:dyDescent="0.25">
      <c r="A255" s="954"/>
      <c r="B255" s="142"/>
      <c r="C255" s="143"/>
      <c r="D255" s="72" t="s">
        <v>110</v>
      </c>
      <c r="E255" s="656">
        <v>0</v>
      </c>
      <c r="F255" s="652">
        <v>0</v>
      </c>
      <c r="G255" s="65">
        <f>E255*'Plantel produtivo'!$D$49</f>
        <v>0</v>
      </c>
      <c r="H255" s="65">
        <f>E255*H237</f>
        <v>0</v>
      </c>
      <c r="I255" s="143"/>
      <c r="J255" s="146"/>
    </row>
    <row r="256" spans="1:10" x14ac:dyDescent="0.25">
      <c r="A256" s="954"/>
      <c r="B256" s="142"/>
      <c r="C256" s="143"/>
      <c r="D256" s="77" t="s">
        <v>701</v>
      </c>
      <c r="E256" s="657">
        <v>0</v>
      </c>
      <c r="F256" s="655">
        <v>0</v>
      </c>
      <c r="G256" s="79">
        <f>E256*'Plantel produtivo'!$D$49</f>
        <v>0</v>
      </c>
      <c r="H256" s="79">
        <f>E256*H238</f>
        <v>0</v>
      </c>
      <c r="I256" s="143"/>
      <c r="J256" s="146"/>
    </row>
    <row r="257" spans="1:10" ht="32.25" thickBot="1" x14ac:dyDescent="0.3">
      <c r="A257" s="954"/>
      <c r="B257" s="142"/>
      <c r="C257" s="143"/>
      <c r="D257" s="150"/>
      <c r="E257" s="150"/>
      <c r="F257" s="145"/>
      <c r="G257" s="144"/>
      <c r="H257" s="144"/>
      <c r="I257" s="143"/>
      <c r="J257" s="146"/>
    </row>
    <row r="258" spans="1:10" ht="32.25" thickBot="1" x14ac:dyDescent="0.3">
      <c r="A258" s="954"/>
      <c r="B258" s="142"/>
      <c r="C258" s="828" t="s">
        <v>71</v>
      </c>
      <c r="D258" s="835"/>
      <c r="E258" s="835"/>
      <c r="F258" s="835"/>
      <c r="G258" s="835"/>
      <c r="H258" s="835"/>
      <c r="I258" s="829"/>
      <c r="J258" s="146"/>
    </row>
    <row r="259" spans="1:10" ht="32.25" thickBot="1" x14ac:dyDescent="0.3">
      <c r="A259" s="954"/>
      <c r="B259" s="142"/>
      <c r="C259" s="150"/>
      <c r="D259" s="151"/>
      <c r="E259" s="151"/>
      <c r="F259" s="7"/>
      <c r="G259" s="152"/>
      <c r="H259" s="153"/>
      <c r="I259" s="154"/>
      <c r="J259" s="146"/>
    </row>
    <row r="260" spans="1:10" ht="61.5" x14ac:dyDescent="0.25">
      <c r="A260" s="954"/>
      <c r="B260" s="142"/>
      <c r="C260" s="952" t="s">
        <v>72</v>
      </c>
      <c r="D260" s="953"/>
      <c r="E260" s="55" t="s">
        <v>73</v>
      </c>
      <c r="F260" s="56" t="s">
        <v>641</v>
      </c>
      <c r="G260" s="55" t="s">
        <v>74</v>
      </c>
      <c r="H260" s="55" t="s">
        <v>125</v>
      </c>
      <c r="I260" s="57" t="s">
        <v>75</v>
      </c>
      <c r="J260" s="146"/>
    </row>
    <row r="261" spans="1:10" x14ac:dyDescent="0.25">
      <c r="A261" s="954"/>
      <c r="B261" s="142"/>
      <c r="C261" s="922" t="s">
        <v>76</v>
      </c>
      <c r="D261" s="923"/>
      <c r="E261" s="59"/>
      <c r="F261" s="81"/>
      <c r="G261" s="59"/>
      <c r="H261" s="61"/>
      <c r="I261" s="61"/>
      <c r="J261" s="146"/>
    </row>
    <row r="262" spans="1:10" x14ac:dyDescent="0.25">
      <c r="A262" s="954"/>
      <c r="B262" s="142"/>
      <c r="C262" s="933" t="s">
        <v>387</v>
      </c>
      <c r="D262" s="934"/>
      <c r="E262" s="9" t="s">
        <v>77</v>
      </c>
      <c r="F262" s="658">
        <v>2386.75</v>
      </c>
      <c r="G262" s="656">
        <v>1</v>
      </c>
      <c r="H262" s="656">
        <v>8</v>
      </c>
      <c r="I262" s="173">
        <f>(G262*H262)*5.5</f>
        <v>44</v>
      </c>
      <c r="J262" s="146"/>
    </row>
    <row r="263" spans="1:10" x14ac:dyDescent="0.25">
      <c r="A263" s="954"/>
      <c r="B263" s="142"/>
      <c r="C263" s="933" t="s">
        <v>388</v>
      </c>
      <c r="D263" s="934"/>
      <c r="E263" s="9" t="s">
        <v>78</v>
      </c>
      <c r="F263" s="658">
        <v>1785.02</v>
      </c>
      <c r="G263" s="656">
        <v>3</v>
      </c>
      <c r="H263" s="656">
        <v>8</v>
      </c>
      <c r="I263" s="173">
        <f>(G263*H263)*5.5</f>
        <v>132</v>
      </c>
      <c r="J263" s="146"/>
    </row>
    <row r="264" spans="1:10" x14ac:dyDescent="0.25">
      <c r="A264" s="954"/>
      <c r="B264" s="142"/>
      <c r="C264" s="66" t="s">
        <v>730</v>
      </c>
      <c r="D264" s="88"/>
      <c r="E264" s="89"/>
      <c r="F264" s="660">
        <v>0</v>
      </c>
      <c r="G264" s="657">
        <v>0</v>
      </c>
      <c r="H264" s="657">
        <v>0</v>
      </c>
      <c r="I264" s="173">
        <f>(G264*H264)*5.5</f>
        <v>0</v>
      </c>
      <c r="J264" s="146"/>
    </row>
    <row r="265" spans="1:10" x14ac:dyDescent="0.25">
      <c r="A265" s="954"/>
      <c r="B265" s="142"/>
      <c r="C265" s="917" t="s">
        <v>80</v>
      </c>
      <c r="D265" s="918"/>
      <c r="E265" s="9"/>
      <c r="F265" s="141"/>
      <c r="G265" s="102"/>
      <c r="H265" s="117"/>
      <c r="I265" s="84"/>
      <c r="J265" s="146"/>
    </row>
    <row r="266" spans="1:10" x14ac:dyDescent="0.25">
      <c r="A266" s="954"/>
      <c r="B266" s="142"/>
      <c r="C266" s="946" t="s">
        <v>801</v>
      </c>
      <c r="D266" s="947"/>
      <c r="E266" s="89"/>
      <c r="F266" s="660">
        <v>0</v>
      </c>
      <c r="G266" s="657">
        <v>0</v>
      </c>
      <c r="H266" s="661">
        <v>0</v>
      </c>
      <c r="I266" s="304">
        <f>G266*H266/4</f>
        <v>0</v>
      </c>
      <c r="J266" s="146"/>
    </row>
    <row r="267" spans="1:10" ht="32.25" thickBot="1" x14ac:dyDescent="0.3">
      <c r="A267" s="954"/>
      <c r="B267" s="142"/>
      <c r="C267" s="150"/>
      <c r="D267" s="155"/>
      <c r="E267" s="155"/>
      <c r="F267" s="7"/>
      <c r="G267" s="152"/>
      <c r="H267" s="153"/>
      <c r="I267" s="154"/>
      <c r="J267" s="146"/>
    </row>
    <row r="268" spans="1:10" ht="32.25" thickBot="1" x14ac:dyDescent="0.3">
      <c r="A268" s="954"/>
      <c r="B268" s="142"/>
      <c r="C268" s="143"/>
      <c r="D268" s="828" t="s">
        <v>917</v>
      </c>
      <c r="E268" s="835"/>
      <c r="F268" s="835"/>
      <c r="G268" s="835"/>
      <c r="H268" s="829"/>
      <c r="I268" s="143"/>
      <c r="J268" s="146"/>
    </row>
    <row r="269" spans="1:10" ht="32.25" thickBot="1" x14ac:dyDescent="0.3">
      <c r="A269" s="954"/>
      <c r="B269" s="142"/>
      <c r="C269" s="143"/>
      <c r="D269" s="143"/>
      <c r="E269" s="143"/>
      <c r="F269" s="145"/>
      <c r="G269" s="144"/>
      <c r="H269" s="143"/>
      <c r="I269" s="143"/>
      <c r="J269" s="146"/>
    </row>
    <row r="270" spans="1:10" ht="62.25" thickBot="1" x14ac:dyDescent="0.3">
      <c r="A270" s="954"/>
      <c r="B270" s="142"/>
      <c r="C270" s="143"/>
      <c r="D270" s="90" t="s">
        <v>11</v>
      </c>
      <c r="E270" s="91"/>
      <c r="F270" s="56" t="s">
        <v>642</v>
      </c>
      <c r="G270" s="55" t="s">
        <v>13</v>
      </c>
      <c r="H270" s="57" t="s">
        <v>81</v>
      </c>
      <c r="I270" s="143"/>
      <c r="J270" s="146"/>
    </row>
    <row r="271" spans="1:10" ht="31.5" customHeight="1" x14ac:dyDescent="0.2">
      <c r="A271" s="954"/>
      <c r="B271" s="142"/>
      <c r="C271" s="143"/>
      <c r="D271" s="972" t="s">
        <v>1047</v>
      </c>
      <c r="E271" s="973"/>
      <c r="F271" s="662">
        <f>F215</f>
        <v>45.43</v>
      </c>
      <c r="G271" s="663">
        <v>5</v>
      </c>
      <c r="H271" s="603" t="s">
        <v>918</v>
      </c>
      <c r="I271" s="143"/>
      <c r="J271" s="146"/>
    </row>
    <row r="272" spans="1:10" x14ac:dyDescent="0.2">
      <c r="A272" s="954"/>
      <c r="B272" s="142"/>
      <c r="C272" s="143"/>
      <c r="D272" s="935" t="s">
        <v>1048</v>
      </c>
      <c r="E272" s="936"/>
      <c r="F272" s="658">
        <f>F216</f>
        <v>45.43</v>
      </c>
      <c r="G272" s="664">
        <v>3</v>
      </c>
      <c r="H272" s="603" t="s">
        <v>918</v>
      </c>
      <c r="I272" s="143"/>
      <c r="J272" s="146"/>
    </row>
    <row r="273" spans="1:10" ht="31.5" customHeight="1" x14ac:dyDescent="0.2">
      <c r="A273" s="954"/>
      <c r="B273" s="142"/>
      <c r="C273" s="143"/>
      <c r="D273" s="935" t="s">
        <v>1076</v>
      </c>
      <c r="E273" s="936"/>
      <c r="F273" s="658">
        <f t="shared" ref="F273:F278" si="4">F219</f>
        <v>0.2</v>
      </c>
      <c r="G273" s="665">
        <f>H244*2</f>
        <v>2049.7046653783041</v>
      </c>
      <c r="H273" s="603" t="s">
        <v>1074</v>
      </c>
      <c r="I273" s="143"/>
      <c r="J273" s="146"/>
    </row>
    <row r="274" spans="1:10" x14ac:dyDescent="0.25">
      <c r="A274" s="954"/>
      <c r="B274" s="142"/>
      <c r="C274" s="143"/>
      <c r="D274" s="597" t="s">
        <v>1051</v>
      </c>
      <c r="E274" s="598"/>
      <c r="F274" s="658">
        <f t="shared" si="4"/>
        <v>3.37</v>
      </c>
      <c r="G274" s="664">
        <v>5</v>
      </c>
      <c r="H274" s="603" t="s">
        <v>1074</v>
      </c>
      <c r="I274" s="143"/>
      <c r="J274" s="146"/>
    </row>
    <row r="275" spans="1:10" x14ac:dyDescent="0.2">
      <c r="A275" s="954"/>
      <c r="B275" s="142"/>
      <c r="C275" s="143"/>
      <c r="D275" s="935" t="s">
        <v>1078</v>
      </c>
      <c r="E275" s="936"/>
      <c r="F275" s="658">
        <f t="shared" si="4"/>
        <v>0.48</v>
      </c>
      <c r="G275" s="665">
        <f>G273</f>
        <v>2049.7046653783041</v>
      </c>
      <c r="H275" s="603" t="s">
        <v>1074</v>
      </c>
      <c r="I275" s="143"/>
      <c r="J275" s="146"/>
    </row>
    <row r="276" spans="1:10" x14ac:dyDescent="0.25">
      <c r="A276" s="954"/>
      <c r="B276" s="142"/>
      <c r="C276" s="143"/>
      <c r="D276" s="597" t="s">
        <v>992</v>
      </c>
      <c r="E276" s="598"/>
      <c r="F276" s="658">
        <f t="shared" si="4"/>
        <v>13.28</v>
      </c>
      <c r="G276" s="664">
        <v>20</v>
      </c>
      <c r="H276" s="603" t="s">
        <v>1074</v>
      </c>
      <c r="I276" s="143"/>
      <c r="J276" s="146"/>
    </row>
    <row r="277" spans="1:10" x14ac:dyDescent="0.25">
      <c r="A277" s="954"/>
      <c r="B277" s="142"/>
      <c r="C277" s="143"/>
      <c r="D277" s="597" t="s">
        <v>1026</v>
      </c>
      <c r="E277" s="599"/>
      <c r="F277" s="658">
        <f t="shared" si="4"/>
        <v>3.44</v>
      </c>
      <c r="G277" s="664">
        <v>21</v>
      </c>
      <c r="H277" s="603" t="s">
        <v>1074</v>
      </c>
      <c r="I277" s="143"/>
      <c r="J277" s="146"/>
    </row>
    <row r="278" spans="1:10" x14ac:dyDescent="0.25">
      <c r="A278" s="954"/>
      <c r="B278" s="142"/>
      <c r="C278" s="143"/>
      <c r="D278" s="597" t="s">
        <v>1027</v>
      </c>
      <c r="E278" s="599"/>
      <c r="F278" s="658">
        <f t="shared" si="4"/>
        <v>24.3</v>
      </c>
      <c r="G278" s="664">
        <v>21</v>
      </c>
      <c r="H278" s="603" t="s">
        <v>1074</v>
      </c>
      <c r="I278" s="143"/>
      <c r="J278" s="146"/>
    </row>
    <row r="279" spans="1:10" x14ac:dyDescent="0.25">
      <c r="A279" s="954"/>
      <c r="B279" s="142"/>
      <c r="C279" s="143"/>
      <c r="D279" s="600" t="s">
        <v>1046</v>
      </c>
      <c r="E279" s="599"/>
      <c r="F279" s="658">
        <v>0</v>
      </c>
      <c r="G279" s="664">
        <v>0</v>
      </c>
      <c r="H279" s="603"/>
      <c r="I279" s="143"/>
      <c r="J279" s="146"/>
    </row>
    <row r="280" spans="1:10" x14ac:dyDescent="0.25">
      <c r="A280" s="954"/>
      <c r="B280" s="142"/>
      <c r="C280" s="143"/>
      <c r="D280" s="600" t="s">
        <v>1068</v>
      </c>
      <c r="E280" s="599"/>
      <c r="F280" s="658">
        <f>F160</f>
        <v>34</v>
      </c>
      <c r="G280" s="664">
        <v>7</v>
      </c>
      <c r="H280" s="603" t="s">
        <v>1074</v>
      </c>
      <c r="I280" s="143"/>
      <c r="J280" s="146"/>
    </row>
    <row r="281" spans="1:10" x14ac:dyDescent="0.25">
      <c r="A281" s="954"/>
      <c r="B281" s="142"/>
      <c r="C281" s="143"/>
      <c r="D281" s="601" t="s">
        <v>93</v>
      </c>
      <c r="E281" s="602"/>
      <c r="F281" s="660">
        <v>0</v>
      </c>
      <c r="G281" s="666">
        <v>0</v>
      </c>
      <c r="H281" s="604"/>
      <c r="I281" s="143"/>
      <c r="J281" s="146"/>
    </row>
    <row r="282" spans="1:10" ht="32.25" thickBot="1" x14ac:dyDescent="0.3">
      <c r="A282" s="954"/>
      <c r="B282" s="142"/>
      <c r="C282" s="143"/>
      <c r="D282" s="148"/>
      <c r="E282" s="148"/>
      <c r="F282" s="149"/>
      <c r="G282" s="148"/>
      <c r="H282" s="148"/>
      <c r="I282" s="143"/>
      <c r="J282" s="146"/>
    </row>
    <row r="283" spans="1:10" ht="32.25" thickBot="1" x14ac:dyDescent="0.3">
      <c r="A283" s="282"/>
      <c r="B283" s="937" t="s">
        <v>925</v>
      </c>
      <c r="C283" s="938"/>
      <c r="D283" s="938"/>
      <c r="E283" s="938"/>
      <c r="F283" s="938"/>
      <c r="G283" s="939"/>
      <c r="H283" s="955">
        <f>(SUM('Custo de produção por lotes'!L42:M42,'Custo de produção por lotes'!L121:M121,'Custo de produção por lotes'!L205:M205)/H238)</f>
        <v>76.417377104728189</v>
      </c>
      <c r="I283" s="956"/>
      <c r="J283" s="957"/>
    </row>
    <row r="284" spans="1:10" ht="32.25" thickBot="1" x14ac:dyDescent="0.3">
      <c r="D284" s="4"/>
      <c r="E284" s="4"/>
      <c r="F284" s="141"/>
      <c r="G284" s="4"/>
      <c r="H284" s="4"/>
    </row>
    <row r="285" spans="1:10" ht="38.25" thickBot="1" x14ac:dyDescent="0.3">
      <c r="B285" s="924" t="s">
        <v>126</v>
      </c>
      <c r="C285" s="925"/>
      <c r="D285" s="925"/>
      <c r="E285" s="925"/>
      <c r="F285" s="925"/>
      <c r="G285" s="925"/>
      <c r="H285" s="925"/>
      <c r="I285" s="925"/>
      <c r="J285" s="926"/>
    </row>
    <row r="286" spans="1:10" ht="32.25" thickBot="1" x14ac:dyDescent="0.3">
      <c r="A286" s="974" t="s">
        <v>233</v>
      </c>
      <c r="B286" s="156"/>
      <c r="C286" s="157"/>
      <c r="D286" s="158"/>
      <c r="E286" s="158"/>
      <c r="F286" s="159"/>
      <c r="G286" s="158"/>
      <c r="H286" s="158"/>
      <c r="I286" s="157"/>
      <c r="J286" s="160"/>
    </row>
    <row r="287" spans="1:10" ht="32.25" thickBot="1" x14ac:dyDescent="0.3">
      <c r="A287" s="974"/>
      <c r="B287" s="161"/>
      <c r="C287" s="828" t="s">
        <v>29</v>
      </c>
      <c r="D287" s="835"/>
      <c r="E287" s="835"/>
      <c r="F287" s="835"/>
      <c r="G287" s="835"/>
      <c r="H287" s="835"/>
      <c r="I287" s="829"/>
      <c r="J287" s="160"/>
    </row>
    <row r="288" spans="1:10" ht="32.25" thickBot="1" x14ac:dyDescent="0.3">
      <c r="A288" s="974"/>
      <c r="B288" s="161"/>
      <c r="C288" s="162"/>
      <c r="D288" s="162"/>
      <c r="E288" s="163"/>
      <c r="F288" s="164"/>
      <c r="G288" s="163"/>
      <c r="H288" s="163"/>
      <c r="I288" s="163"/>
      <c r="J288" s="160"/>
    </row>
    <row r="289" spans="1:10" ht="115.5" customHeight="1" x14ac:dyDescent="0.25">
      <c r="A289" s="974"/>
      <c r="B289" s="161"/>
      <c r="C289" s="54" t="s">
        <v>30</v>
      </c>
      <c r="D289" s="55" t="s">
        <v>31</v>
      </c>
      <c r="E289" s="55" t="s">
        <v>32</v>
      </c>
      <c r="F289" s="56" t="s">
        <v>640</v>
      </c>
      <c r="G289" s="55" t="s">
        <v>33</v>
      </c>
      <c r="H289" s="55" t="s">
        <v>34</v>
      </c>
      <c r="I289" s="57" t="s">
        <v>35</v>
      </c>
      <c r="J289" s="160"/>
    </row>
    <row r="290" spans="1:10" x14ac:dyDescent="0.25">
      <c r="A290" s="974"/>
      <c r="B290" s="161"/>
      <c r="C290" s="58" t="s">
        <v>127</v>
      </c>
      <c r="D290" s="59"/>
      <c r="E290" s="59"/>
      <c r="F290" s="60"/>
      <c r="G290" s="59"/>
      <c r="H290" s="61"/>
      <c r="I290" s="61"/>
      <c r="J290" s="160"/>
    </row>
    <row r="291" spans="1:10" x14ac:dyDescent="0.25">
      <c r="A291" s="974"/>
      <c r="B291" s="161"/>
      <c r="C291" s="62" t="s">
        <v>1055</v>
      </c>
      <c r="D291" s="650">
        <v>24</v>
      </c>
      <c r="E291" s="651">
        <v>1.5</v>
      </c>
      <c r="F291" s="652">
        <v>2.23</v>
      </c>
      <c r="G291" s="63">
        <f>D291*E291</f>
        <v>36</v>
      </c>
      <c r="H291" s="64">
        <f>H238</f>
        <v>974.22462745430801</v>
      </c>
      <c r="I291" s="65">
        <f>G291*H291</f>
        <v>35072.086588355087</v>
      </c>
      <c r="J291" s="160"/>
    </row>
    <row r="292" spans="1:10" x14ac:dyDescent="0.25">
      <c r="A292" s="974"/>
      <c r="B292" s="161"/>
      <c r="C292" s="62" t="s">
        <v>692</v>
      </c>
      <c r="D292" s="650">
        <v>19</v>
      </c>
      <c r="E292" s="651">
        <v>2</v>
      </c>
      <c r="F292" s="652">
        <f>F291</f>
        <v>2.23</v>
      </c>
      <c r="G292" s="63">
        <f>D292*E292</f>
        <v>38</v>
      </c>
      <c r="H292" s="64">
        <f>$H$291-(30%*$H$291*'Plantel produtivo'!$D$96)</f>
        <v>968.37927968958218</v>
      </c>
      <c r="I292" s="65">
        <f>G292*H292</f>
        <v>36798.412628204125</v>
      </c>
      <c r="J292" s="160"/>
    </row>
    <row r="293" spans="1:10" x14ac:dyDescent="0.25">
      <c r="A293" s="974"/>
      <c r="B293" s="161"/>
      <c r="C293" s="62" t="s">
        <v>693</v>
      </c>
      <c r="D293" s="650">
        <v>14</v>
      </c>
      <c r="E293" s="651">
        <v>2.5</v>
      </c>
      <c r="F293" s="652">
        <v>2.17</v>
      </c>
      <c r="G293" s="63">
        <f>D293*E293</f>
        <v>35</v>
      </c>
      <c r="H293" s="64">
        <f>$H$291-(70%*$H$291*'Plantel produtivo'!$D$96)</f>
        <v>960.58548266994774</v>
      </c>
      <c r="I293" s="65">
        <f>G293*H293</f>
        <v>33620.491893448168</v>
      </c>
      <c r="J293" s="160"/>
    </row>
    <row r="294" spans="1:10" x14ac:dyDescent="0.25">
      <c r="A294" s="974"/>
      <c r="B294" s="161"/>
      <c r="C294" s="66" t="s">
        <v>1056</v>
      </c>
      <c r="D294" s="653">
        <v>34</v>
      </c>
      <c r="E294" s="654">
        <v>3</v>
      </c>
      <c r="F294" s="655">
        <f>F293</f>
        <v>2.17</v>
      </c>
      <c r="G294" s="67">
        <f>D294*E294</f>
        <v>102</v>
      </c>
      <c r="H294" s="68">
        <f>H293</f>
        <v>960.58548266994774</v>
      </c>
      <c r="I294" s="79">
        <f>G294*H294</f>
        <v>97979.719232334668</v>
      </c>
      <c r="J294" s="160"/>
    </row>
    <row r="295" spans="1:10" ht="32.25" thickBot="1" x14ac:dyDescent="0.3">
      <c r="A295" s="974"/>
      <c r="B295" s="161"/>
      <c r="C295" s="157"/>
      <c r="D295" s="165"/>
      <c r="E295" s="166"/>
      <c r="F295" s="159"/>
      <c r="G295" s="166"/>
      <c r="H295" s="166"/>
      <c r="I295" s="157"/>
      <c r="J295" s="160"/>
    </row>
    <row r="296" spans="1:10" ht="32.25" thickBot="1" x14ac:dyDescent="0.3">
      <c r="A296" s="974"/>
      <c r="B296" s="161"/>
      <c r="C296" s="157"/>
      <c r="D296" s="828" t="s">
        <v>101</v>
      </c>
      <c r="E296" s="835"/>
      <c r="F296" s="835"/>
      <c r="G296" s="835"/>
      <c r="H296" s="829"/>
      <c r="I296" s="157"/>
      <c r="J296" s="160"/>
    </row>
    <row r="297" spans="1:10" ht="32.25" thickBot="1" x14ac:dyDescent="0.3">
      <c r="A297" s="974"/>
      <c r="B297" s="161"/>
      <c r="C297" s="157"/>
      <c r="D297" s="157"/>
      <c r="E297" s="163"/>
      <c r="F297" s="164"/>
      <c r="G297" s="157"/>
      <c r="H297" s="157"/>
      <c r="I297" s="157"/>
      <c r="J297" s="160"/>
    </row>
    <row r="298" spans="1:10" ht="61.5" x14ac:dyDescent="0.25">
      <c r="A298" s="974"/>
      <c r="B298" s="161"/>
      <c r="C298" s="157"/>
      <c r="D298" s="54" t="s">
        <v>50</v>
      </c>
      <c r="E298" s="55" t="s">
        <v>51</v>
      </c>
      <c r="F298" s="56" t="s">
        <v>639</v>
      </c>
      <c r="G298" s="55" t="s">
        <v>92</v>
      </c>
      <c r="H298" s="57" t="s">
        <v>52</v>
      </c>
      <c r="I298" s="157"/>
      <c r="J298" s="160"/>
    </row>
    <row r="299" spans="1:10" x14ac:dyDescent="0.25">
      <c r="A299" s="974"/>
      <c r="B299" s="161"/>
      <c r="C299" s="157"/>
      <c r="D299" s="70" t="s">
        <v>128</v>
      </c>
      <c r="E299" s="59"/>
      <c r="F299" s="60"/>
      <c r="G299" s="75"/>
      <c r="H299" s="71"/>
      <c r="I299" s="157"/>
      <c r="J299" s="160"/>
    </row>
    <row r="300" spans="1:10" x14ac:dyDescent="0.25">
      <c r="A300" s="974"/>
      <c r="B300" s="161"/>
      <c r="C300" s="157"/>
      <c r="D300" s="72" t="s">
        <v>930</v>
      </c>
      <c r="E300" s="656">
        <v>1</v>
      </c>
      <c r="F300" s="652">
        <v>0</v>
      </c>
      <c r="G300" s="109">
        <f>E300*'Plantel produtivo'!$D$49</f>
        <v>2.3766115379606716</v>
      </c>
      <c r="H300" s="65">
        <f>E300*H291</f>
        <v>974.22462745430801</v>
      </c>
      <c r="I300" s="157"/>
      <c r="J300" s="160"/>
    </row>
    <row r="301" spans="1:10" x14ac:dyDescent="0.25">
      <c r="A301" s="974"/>
      <c r="B301" s="161"/>
      <c r="C301" s="157"/>
      <c r="D301" s="72" t="s">
        <v>702</v>
      </c>
      <c r="E301" s="656">
        <v>0</v>
      </c>
      <c r="F301" s="652">
        <v>0</v>
      </c>
      <c r="G301" s="76">
        <f>E301*'Plantel produtivo'!$D$49</f>
        <v>0</v>
      </c>
      <c r="H301" s="65">
        <f>E301*H292</f>
        <v>0</v>
      </c>
      <c r="I301" s="157"/>
      <c r="J301" s="160"/>
    </row>
    <row r="302" spans="1:10" x14ac:dyDescent="0.25">
      <c r="A302" s="974"/>
      <c r="B302" s="161"/>
      <c r="C302" s="157"/>
      <c r="D302" s="72" t="s">
        <v>703</v>
      </c>
      <c r="E302" s="656">
        <v>0</v>
      </c>
      <c r="F302" s="652">
        <v>0</v>
      </c>
      <c r="G302" s="76">
        <f>E302*'Plantel produtivo'!$D$49</f>
        <v>0</v>
      </c>
      <c r="H302" s="65">
        <f>E302*H293</f>
        <v>0</v>
      </c>
      <c r="I302" s="157"/>
      <c r="J302" s="160"/>
    </row>
    <row r="303" spans="1:10" x14ac:dyDescent="0.25">
      <c r="A303" s="974"/>
      <c r="B303" s="161"/>
      <c r="C303" s="157"/>
      <c r="D303" s="77" t="s">
        <v>704</v>
      </c>
      <c r="E303" s="657">
        <v>0</v>
      </c>
      <c r="F303" s="655">
        <v>0</v>
      </c>
      <c r="G303" s="78">
        <f>E303*'Plantel produtivo'!$D$49</f>
        <v>0</v>
      </c>
      <c r="H303" s="79">
        <f>E303*H294</f>
        <v>0</v>
      </c>
      <c r="I303" s="157"/>
      <c r="J303" s="160"/>
    </row>
    <row r="304" spans="1:10" ht="32.25" thickBot="1" x14ac:dyDescent="0.3">
      <c r="A304" s="974"/>
      <c r="B304" s="161"/>
      <c r="C304" s="157"/>
      <c r="D304" s="157"/>
      <c r="E304" s="157"/>
      <c r="F304" s="164"/>
      <c r="G304" s="157"/>
      <c r="H304" s="157"/>
      <c r="I304" s="157"/>
      <c r="J304" s="160"/>
    </row>
    <row r="305" spans="1:10" ht="32.25" thickBot="1" x14ac:dyDescent="0.3">
      <c r="A305" s="974"/>
      <c r="B305" s="161"/>
      <c r="C305" s="157"/>
      <c r="D305" s="828" t="s">
        <v>107</v>
      </c>
      <c r="E305" s="835"/>
      <c r="F305" s="835"/>
      <c r="G305" s="835"/>
      <c r="H305" s="829"/>
      <c r="I305" s="157"/>
      <c r="J305" s="160"/>
    </row>
    <row r="306" spans="1:10" ht="32.25" thickBot="1" x14ac:dyDescent="0.3">
      <c r="A306" s="974"/>
      <c r="B306" s="161"/>
      <c r="C306" s="157"/>
      <c r="D306" s="157"/>
      <c r="E306" s="163"/>
      <c r="F306" s="164"/>
      <c r="G306" s="157"/>
      <c r="H306" s="157"/>
      <c r="I306" s="157"/>
      <c r="J306" s="160"/>
    </row>
    <row r="307" spans="1:10" ht="135" customHeight="1" x14ac:dyDescent="0.25">
      <c r="A307" s="974"/>
      <c r="B307" s="161"/>
      <c r="C307" s="157"/>
      <c r="D307" s="54" t="s">
        <v>50</v>
      </c>
      <c r="E307" s="55" t="s">
        <v>51</v>
      </c>
      <c r="F307" s="56" t="s">
        <v>639</v>
      </c>
      <c r="G307" s="55" t="s">
        <v>92</v>
      </c>
      <c r="H307" s="57" t="s">
        <v>52</v>
      </c>
      <c r="I307" s="157"/>
      <c r="J307" s="160"/>
    </row>
    <row r="308" spans="1:10" x14ac:dyDescent="0.25">
      <c r="A308" s="974"/>
      <c r="B308" s="161"/>
      <c r="C308" s="157"/>
      <c r="D308" s="70" t="s">
        <v>127</v>
      </c>
      <c r="E308" s="59"/>
      <c r="F308" s="60"/>
      <c r="G308" s="61"/>
      <c r="H308" s="71"/>
      <c r="I308" s="157"/>
      <c r="J308" s="160"/>
    </row>
    <row r="309" spans="1:10" x14ac:dyDescent="0.25">
      <c r="A309" s="974"/>
      <c r="B309" s="161"/>
      <c r="C309" s="157"/>
      <c r="D309" s="72" t="s">
        <v>1059</v>
      </c>
      <c r="E309" s="656">
        <v>3</v>
      </c>
      <c r="F309" s="652">
        <v>1.21</v>
      </c>
      <c r="G309" s="76">
        <f>E309*'Plantel produtivo'!$D$49</f>
        <v>7.1298346138820143</v>
      </c>
      <c r="H309" s="65">
        <f>E309*H291</f>
        <v>2922.6738823629239</v>
      </c>
      <c r="I309" s="157"/>
      <c r="J309" s="160"/>
    </row>
    <row r="310" spans="1:10" x14ac:dyDescent="0.25">
      <c r="A310" s="974"/>
      <c r="B310" s="161"/>
      <c r="C310" s="157"/>
      <c r="D310" s="72" t="s">
        <v>1066</v>
      </c>
      <c r="E310" s="656">
        <v>3</v>
      </c>
      <c r="F310" s="652">
        <v>0.52</v>
      </c>
      <c r="G310" s="76">
        <f>E310*'Plantel produtivo'!$D$49</f>
        <v>7.1298346138820143</v>
      </c>
      <c r="H310" s="65">
        <f>E310*H292</f>
        <v>2905.1378390687464</v>
      </c>
      <c r="I310" s="157"/>
      <c r="J310" s="160"/>
    </row>
    <row r="311" spans="1:10" x14ac:dyDescent="0.25">
      <c r="A311" s="974"/>
      <c r="B311" s="161"/>
      <c r="C311" s="157"/>
      <c r="D311" s="72" t="s">
        <v>1067</v>
      </c>
      <c r="E311" s="656">
        <v>1</v>
      </c>
      <c r="F311" s="652">
        <v>21.33</v>
      </c>
      <c r="G311" s="76">
        <f>E311*'Plantel produtivo'!$D$49</f>
        <v>2.3766115379606716</v>
      </c>
      <c r="H311" s="65">
        <f>E311*H293</f>
        <v>960.58548266994774</v>
      </c>
      <c r="I311" s="157"/>
      <c r="J311" s="160"/>
    </row>
    <row r="312" spans="1:10" x14ac:dyDescent="0.25">
      <c r="A312" s="974"/>
      <c r="B312" s="161"/>
      <c r="C312" s="158"/>
      <c r="D312" s="77" t="s">
        <v>701</v>
      </c>
      <c r="E312" s="657">
        <v>0</v>
      </c>
      <c r="F312" s="655">
        <v>0</v>
      </c>
      <c r="G312" s="78">
        <f>E312*'Plantel produtivo'!$D$49</f>
        <v>0</v>
      </c>
      <c r="H312" s="79">
        <f>E312*H294</f>
        <v>0</v>
      </c>
      <c r="I312" s="157"/>
      <c r="J312" s="160"/>
    </row>
    <row r="313" spans="1:10" ht="32.25" thickBot="1" x14ac:dyDescent="0.3">
      <c r="A313" s="974"/>
      <c r="B313" s="161"/>
      <c r="C313" s="158"/>
      <c r="D313" s="157"/>
      <c r="E313" s="163"/>
      <c r="F313" s="164"/>
      <c r="G313" s="167"/>
      <c r="H313" s="167"/>
      <c r="I313" s="166"/>
      <c r="J313" s="160"/>
    </row>
    <row r="314" spans="1:10" ht="32.25" thickBot="1" x14ac:dyDescent="0.3">
      <c r="A314" s="974"/>
      <c r="B314" s="161"/>
      <c r="C314" s="828" t="s">
        <v>71</v>
      </c>
      <c r="D314" s="835"/>
      <c r="E314" s="835"/>
      <c r="F314" s="835"/>
      <c r="G314" s="835"/>
      <c r="H314" s="835"/>
      <c r="I314" s="829"/>
      <c r="J314" s="160"/>
    </row>
    <row r="315" spans="1:10" ht="32.25" thickBot="1" x14ac:dyDescent="0.3">
      <c r="A315" s="974"/>
      <c r="B315" s="161"/>
      <c r="C315" s="168"/>
      <c r="D315" s="169"/>
      <c r="E315" s="169"/>
      <c r="F315" s="8"/>
      <c r="G315" s="170"/>
      <c r="H315" s="171"/>
      <c r="I315" s="172"/>
      <c r="J315" s="160"/>
    </row>
    <row r="316" spans="1:10" ht="62.25" thickBot="1" x14ac:dyDescent="0.3">
      <c r="A316" s="974"/>
      <c r="B316" s="161"/>
      <c r="C316" s="950" t="s">
        <v>72</v>
      </c>
      <c r="D316" s="951"/>
      <c r="E316" s="98" t="s">
        <v>73</v>
      </c>
      <c r="F316" s="99" t="s">
        <v>641</v>
      </c>
      <c r="G316" s="98" t="s">
        <v>74</v>
      </c>
      <c r="H316" s="98" t="s">
        <v>129</v>
      </c>
      <c r="I316" s="57" t="s">
        <v>75</v>
      </c>
      <c r="J316" s="160"/>
    </row>
    <row r="317" spans="1:10" x14ac:dyDescent="0.25">
      <c r="A317" s="974"/>
      <c r="B317" s="161"/>
      <c r="C317" s="918" t="s">
        <v>76</v>
      </c>
      <c r="D317" s="918"/>
      <c r="E317" s="9"/>
      <c r="G317" s="9"/>
      <c r="H317" s="9"/>
      <c r="I317" s="75"/>
      <c r="J317" s="160"/>
    </row>
    <row r="318" spans="1:10" x14ac:dyDescent="0.25">
      <c r="A318" s="974"/>
      <c r="B318" s="161"/>
      <c r="C318" s="934" t="s">
        <v>389</v>
      </c>
      <c r="D318" s="934"/>
      <c r="E318" s="9" t="s">
        <v>77</v>
      </c>
      <c r="F318" s="658">
        <v>2386.75</v>
      </c>
      <c r="G318" s="656">
        <v>1</v>
      </c>
      <c r="H318" s="656">
        <v>8</v>
      </c>
      <c r="I318" s="173">
        <f>(G318*H318)*5.5</f>
        <v>44</v>
      </c>
      <c r="J318" s="160"/>
    </row>
    <row r="319" spans="1:10" x14ac:dyDescent="0.25">
      <c r="A319" s="974"/>
      <c r="B319" s="161"/>
      <c r="C319" s="934" t="s">
        <v>390</v>
      </c>
      <c r="D319" s="934"/>
      <c r="E319" s="9" t="s">
        <v>78</v>
      </c>
      <c r="F319" s="658">
        <v>1785.02</v>
      </c>
      <c r="G319" s="656">
        <v>3</v>
      </c>
      <c r="H319" s="656">
        <v>8</v>
      </c>
      <c r="I319" s="173">
        <f>(G319*H319)*5.5</f>
        <v>132</v>
      </c>
      <c r="J319" s="160"/>
    </row>
    <row r="320" spans="1:10" x14ac:dyDescent="0.25">
      <c r="A320" s="974"/>
      <c r="B320" s="161"/>
      <c r="C320" s="290" t="s">
        <v>730</v>
      </c>
      <c r="D320" s="290"/>
      <c r="E320" s="9"/>
      <c r="F320" s="658">
        <v>0</v>
      </c>
      <c r="G320" s="656">
        <v>0</v>
      </c>
      <c r="H320" s="656">
        <v>0</v>
      </c>
      <c r="I320" s="173">
        <f>(G320*H320)*5.5</f>
        <v>0</v>
      </c>
      <c r="J320" s="160"/>
    </row>
    <row r="321" spans="1:10" x14ac:dyDescent="0.25">
      <c r="A321" s="974"/>
      <c r="B321" s="161"/>
      <c r="C321" s="922" t="s">
        <v>80</v>
      </c>
      <c r="D321" s="923"/>
      <c r="E321" s="59"/>
      <c r="F321" s="315"/>
      <c r="G321" s="85"/>
      <c r="H321" s="85"/>
      <c r="I321" s="175"/>
      <c r="J321" s="160"/>
    </row>
    <row r="322" spans="1:10" x14ac:dyDescent="0.25">
      <c r="A322" s="974"/>
      <c r="B322" s="161"/>
      <c r="C322" s="946" t="s">
        <v>802</v>
      </c>
      <c r="D322" s="947"/>
      <c r="E322" s="89"/>
      <c r="F322" s="660">
        <v>0</v>
      </c>
      <c r="G322" s="657"/>
      <c r="H322" s="657"/>
      <c r="I322" s="514">
        <f>G322*H322/4</f>
        <v>0</v>
      </c>
      <c r="J322" s="160"/>
    </row>
    <row r="323" spans="1:10" ht="32.25" thickBot="1" x14ac:dyDescent="0.3">
      <c r="A323" s="974"/>
      <c r="B323" s="161"/>
      <c r="C323" s="157"/>
      <c r="D323" s="157"/>
      <c r="E323" s="157"/>
      <c r="F323" s="164"/>
      <c r="G323" s="157"/>
      <c r="H323" s="157"/>
      <c r="I323" s="157"/>
      <c r="J323" s="160"/>
    </row>
    <row r="324" spans="1:10" ht="32.25" thickBot="1" x14ac:dyDescent="0.3">
      <c r="A324" s="974"/>
      <c r="B324" s="161"/>
      <c r="C324" s="157"/>
      <c r="D324" s="828" t="s">
        <v>917</v>
      </c>
      <c r="E324" s="835"/>
      <c r="F324" s="835"/>
      <c r="G324" s="835"/>
      <c r="H324" s="829"/>
      <c r="I324" s="157"/>
      <c r="J324" s="160"/>
    </row>
    <row r="325" spans="1:10" ht="32.25" thickBot="1" x14ac:dyDescent="0.3">
      <c r="A325" s="974"/>
      <c r="B325" s="161"/>
      <c r="C325" s="157"/>
      <c r="D325" s="157"/>
      <c r="E325" s="157"/>
      <c r="F325" s="164"/>
      <c r="G325" s="163"/>
      <c r="H325" s="157"/>
      <c r="I325" s="157"/>
      <c r="J325" s="160"/>
    </row>
    <row r="326" spans="1:10" ht="62.25" thickBot="1" x14ac:dyDescent="0.3">
      <c r="A326" s="974"/>
      <c r="B326" s="161"/>
      <c r="C326" s="157"/>
      <c r="D326" s="90" t="s">
        <v>11</v>
      </c>
      <c r="E326" s="91"/>
      <c r="F326" s="56" t="s">
        <v>642</v>
      </c>
      <c r="G326" s="55" t="s">
        <v>13</v>
      </c>
      <c r="H326" s="57" t="s">
        <v>81</v>
      </c>
      <c r="I326" s="157"/>
      <c r="J326" s="160"/>
    </row>
    <row r="327" spans="1:10" ht="31.5" customHeight="1" x14ac:dyDescent="0.2">
      <c r="A327" s="974"/>
      <c r="B327" s="161"/>
      <c r="C327" s="157"/>
      <c r="D327" s="972" t="s">
        <v>1047</v>
      </c>
      <c r="E327" s="973"/>
      <c r="F327" s="662">
        <f>F271</f>
        <v>45.43</v>
      </c>
      <c r="G327" s="672">
        <v>4</v>
      </c>
      <c r="H327" s="603" t="s">
        <v>918</v>
      </c>
      <c r="I327" s="157"/>
      <c r="J327" s="160"/>
    </row>
    <row r="328" spans="1:10" x14ac:dyDescent="0.2">
      <c r="A328" s="974"/>
      <c r="B328" s="161"/>
      <c r="C328" s="157"/>
      <c r="D328" s="935" t="s">
        <v>1048</v>
      </c>
      <c r="E328" s="936"/>
      <c r="F328" s="658">
        <f>F272</f>
        <v>45.43</v>
      </c>
      <c r="G328" s="673">
        <v>2</v>
      </c>
      <c r="H328" s="603" t="s">
        <v>918</v>
      </c>
      <c r="I328" s="157"/>
      <c r="J328" s="160"/>
    </row>
    <row r="329" spans="1:10" x14ac:dyDescent="0.2">
      <c r="A329" s="974"/>
      <c r="B329" s="161"/>
      <c r="C329" s="157"/>
      <c r="D329" s="935" t="s">
        <v>1072</v>
      </c>
      <c r="E329" s="936"/>
      <c r="F329" s="658">
        <f>F218</f>
        <v>0.19</v>
      </c>
      <c r="G329" s="674">
        <f>H300*3</f>
        <v>2922.6738823629239</v>
      </c>
      <c r="H329" s="603" t="s">
        <v>1074</v>
      </c>
      <c r="I329" s="157"/>
      <c r="J329" s="160"/>
    </row>
    <row r="330" spans="1:10" x14ac:dyDescent="0.25">
      <c r="A330" s="974"/>
      <c r="B330" s="161"/>
      <c r="C330" s="157"/>
      <c r="D330" s="597" t="s">
        <v>1050</v>
      </c>
      <c r="E330" s="598"/>
      <c r="F330" s="658">
        <f>F274</f>
        <v>3.37</v>
      </c>
      <c r="G330" s="673">
        <v>30</v>
      </c>
      <c r="H330" s="603" t="s">
        <v>1080</v>
      </c>
      <c r="I330" s="157"/>
      <c r="J330" s="160"/>
    </row>
    <row r="331" spans="1:10" x14ac:dyDescent="0.2">
      <c r="A331" s="974"/>
      <c r="B331" s="161"/>
      <c r="C331" s="157"/>
      <c r="D331" s="935" t="s">
        <v>1079</v>
      </c>
      <c r="E331" s="936"/>
      <c r="F331" s="658">
        <f>F155</f>
        <v>0.72</v>
      </c>
      <c r="G331" s="674">
        <f>G329</f>
        <v>2922.6738823629239</v>
      </c>
      <c r="H331" s="603" t="s">
        <v>918</v>
      </c>
      <c r="I331" s="157"/>
      <c r="J331" s="160"/>
    </row>
    <row r="332" spans="1:10" x14ac:dyDescent="0.25">
      <c r="A332" s="974"/>
      <c r="B332" s="161"/>
      <c r="C332" s="157"/>
      <c r="D332" s="597" t="s">
        <v>992</v>
      </c>
      <c r="E332" s="598"/>
      <c r="F332" s="658">
        <f>F276</f>
        <v>13.28</v>
      </c>
      <c r="G332" s="673">
        <v>14</v>
      </c>
      <c r="H332" s="603" t="s">
        <v>1074</v>
      </c>
      <c r="I332" s="157"/>
      <c r="J332" s="160"/>
    </row>
    <row r="333" spans="1:10" x14ac:dyDescent="0.25">
      <c r="A333" s="974"/>
      <c r="B333" s="161"/>
      <c r="C333" s="157"/>
      <c r="D333" s="597" t="s">
        <v>1026</v>
      </c>
      <c r="E333" s="599"/>
      <c r="F333" s="658">
        <f>F277</f>
        <v>3.44</v>
      </c>
      <c r="G333" s="673">
        <v>14</v>
      </c>
      <c r="H333" s="603" t="s">
        <v>1074</v>
      </c>
      <c r="I333" s="157"/>
      <c r="J333" s="160"/>
    </row>
    <row r="334" spans="1:10" x14ac:dyDescent="0.25">
      <c r="A334" s="974"/>
      <c r="B334" s="161"/>
      <c r="C334" s="157"/>
      <c r="D334" s="597" t="s">
        <v>1027</v>
      </c>
      <c r="E334" s="599"/>
      <c r="F334" s="658">
        <f>F278</f>
        <v>24.3</v>
      </c>
      <c r="G334" s="673">
        <v>28</v>
      </c>
      <c r="H334" s="603" t="s">
        <v>1074</v>
      </c>
      <c r="I334" s="157"/>
      <c r="J334" s="160"/>
    </row>
    <row r="335" spans="1:10" x14ac:dyDescent="0.25">
      <c r="A335" s="974"/>
      <c r="B335" s="161"/>
      <c r="C335" s="157"/>
      <c r="D335" s="600" t="s">
        <v>1046</v>
      </c>
      <c r="E335" s="599"/>
      <c r="F335" s="658">
        <f>F279</f>
        <v>0</v>
      </c>
      <c r="G335" s="673">
        <v>0</v>
      </c>
      <c r="H335" s="603"/>
      <c r="I335" s="157"/>
      <c r="J335" s="160"/>
    </row>
    <row r="336" spans="1:10" x14ac:dyDescent="0.25">
      <c r="A336" s="974"/>
      <c r="B336" s="161"/>
      <c r="C336" s="157"/>
      <c r="D336" s="600" t="s">
        <v>1068</v>
      </c>
      <c r="E336" s="599"/>
      <c r="F336" s="658">
        <f>F280</f>
        <v>34</v>
      </c>
      <c r="G336" s="673">
        <v>14</v>
      </c>
      <c r="H336" s="603" t="s">
        <v>1074</v>
      </c>
      <c r="I336" s="157"/>
      <c r="J336" s="160"/>
    </row>
    <row r="337" spans="1:10" x14ac:dyDescent="0.25">
      <c r="A337" s="974"/>
      <c r="B337" s="161"/>
      <c r="C337" s="157"/>
      <c r="D337" s="601" t="s">
        <v>93</v>
      </c>
      <c r="E337" s="602"/>
      <c r="F337" s="660">
        <v>0</v>
      </c>
      <c r="G337" s="675">
        <v>0</v>
      </c>
      <c r="H337" s="604"/>
      <c r="I337" s="157"/>
      <c r="J337" s="160"/>
    </row>
    <row r="338" spans="1:10" ht="32.25" thickBot="1" x14ac:dyDescent="0.3">
      <c r="A338" s="974"/>
      <c r="B338" s="161"/>
      <c r="C338" s="157"/>
      <c r="D338" s="168"/>
      <c r="E338" s="168"/>
      <c r="F338" s="164"/>
      <c r="G338" s="163"/>
      <c r="H338" s="163"/>
      <c r="I338" s="157"/>
      <c r="J338" s="160"/>
    </row>
    <row r="339" spans="1:10" ht="32.25" thickBot="1" x14ac:dyDescent="0.3">
      <c r="A339" s="974"/>
      <c r="B339" s="161"/>
      <c r="C339" s="157"/>
      <c r="D339" s="828" t="s">
        <v>921</v>
      </c>
      <c r="E339" s="835"/>
      <c r="F339" s="835"/>
      <c r="G339" s="835"/>
      <c r="H339" s="829"/>
      <c r="I339" s="157"/>
      <c r="J339" s="160"/>
    </row>
    <row r="340" spans="1:10" ht="32.25" thickBot="1" x14ac:dyDescent="0.3">
      <c r="A340" s="974"/>
      <c r="B340" s="161"/>
      <c r="C340" s="157"/>
      <c r="D340" s="168"/>
      <c r="E340" s="169"/>
      <c r="F340" s="8"/>
      <c r="G340" s="170"/>
      <c r="H340" s="171"/>
      <c r="I340" s="157"/>
      <c r="J340" s="160"/>
    </row>
    <row r="341" spans="1:10" ht="90.75" customHeight="1" x14ac:dyDescent="0.25">
      <c r="A341" s="974"/>
      <c r="B341" s="161"/>
      <c r="C341" s="157"/>
      <c r="D341" s="90" t="s">
        <v>632</v>
      </c>
      <c r="E341" s="55" t="s">
        <v>637</v>
      </c>
      <c r="F341" s="56" t="s">
        <v>635</v>
      </c>
      <c r="G341" s="958" t="s">
        <v>636</v>
      </c>
      <c r="H341" s="959"/>
      <c r="I341" s="157"/>
      <c r="J341" s="160"/>
    </row>
    <row r="342" spans="1:10" ht="63.75" thickBot="1" x14ac:dyDescent="0.3">
      <c r="A342" s="974"/>
      <c r="B342" s="161"/>
      <c r="C342" s="157"/>
      <c r="D342" s="92" t="s">
        <v>633</v>
      </c>
      <c r="E342" s="676">
        <v>15</v>
      </c>
      <c r="F342" s="677">
        <v>100</v>
      </c>
      <c r="G342" s="960">
        <f>E342*F342</f>
        <v>1500</v>
      </c>
      <c r="H342" s="961"/>
      <c r="I342" s="157"/>
      <c r="J342" s="160"/>
    </row>
    <row r="343" spans="1:10" ht="61.5" x14ac:dyDescent="0.25">
      <c r="A343" s="974"/>
      <c r="B343" s="161"/>
      <c r="C343" s="157"/>
      <c r="D343" s="3" t="s">
        <v>632</v>
      </c>
      <c r="E343" s="2" t="s">
        <v>638</v>
      </c>
      <c r="F343" s="177" t="s">
        <v>928</v>
      </c>
      <c r="G343" s="958" t="s">
        <v>644</v>
      </c>
      <c r="H343" s="964"/>
      <c r="I343" s="157"/>
      <c r="J343" s="160"/>
    </row>
    <row r="344" spans="1:10" x14ac:dyDescent="0.25">
      <c r="A344" s="974"/>
      <c r="B344" s="161"/>
      <c r="C344" s="157"/>
      <c r="D344" s="303" t="s">
        <v>634</v>
      </c>
      <c r="E344" s="678">
        <v>1E-3</v>
      </c>
      <c r="F344" s="679">
        <f>H294*'Plantel produtivo'!D67*'Caracterização do sistema'!I66</f>
        <v>741764.10971773369</v>
      </c>
      <c r="G344" s="962">
        <f>E344*F344</f>
        <v>741.76410971773373</v>
      </c>
      <c r="H344" s="963"/>
      <c r="I344" s="157"/>
      <c r="J344" s="160"/>
    </row>
    <row r="345" spans="1:10" ht="32.25" thickBot="1" x14ac:dyDescent="0.3">
      <c r="A345" s="974"/>
      <c r="B345" s="161"/>
      <c r="C345" s="157"/>
      <c r="D345" s="157"/>
      <c r="E345" s="157"/>
      <c r="F345" s="164"/>
      <c r="G345" s="157"/>
      <c r="H345" s="157"/>
      <c r="I345" s="157"/>
      <c r="J345" s="160"/>
    </row>
    <row r="346" spans="1:10" ht="32.25" thickBot="1" x14ac:dyDescent="0.3">
      <c r="A346" s="283"/>
      <c r="B346" s="937" t="s">
        <v>927</v>
      </c>
      <c r="C346" s="938"/>
      <c r="D346" s="938"/>
      <c r="E346" s="938"/>
      <c r="F346" s="938"/>
      <c r="G346" s="939"/>
      <c r="H346" s="965">
        <f>(SUM('Custo de produção por lotes'!L48:M48,'Custo de produção por lotes'!L133:M133,'Custo de produção por lotes'!L217:M217,'Custo de produção por lotes'!L234:M234,'Custo de produção por lotes'!L235:M235)/H294)</f>
        <v>494.11528043968042</v>
      </c>
      <c r="I346" s="966"/>
      <c r="J346" s="967"/>
    </row>
    <row r="347" spans="1:10" ht="32.25" thickBot="1" x14ac:dyDescent="0.3"/>
    <row r="348" spans="1:10" ht="38.25" thickBot="1" x14ac:dyDescent="0.3">
      <c r="A348" s="971" t="s">
        <v>421</v>
      </c>
      <c r="B348" s="924" t="s">
        <v>420</v>
      </c>
      <c r="C348" s="925"/>
      <c r="D348" s="925"/>
      <c r="E348" s="925"/>
      <c r="F348" s="925"/>
      <c r="G348" s="925"/>
      <c r="H348" s="925"/>
      <c r="I348" s="925"/>
      <c r="J348" s="926"/>
    </row>
    <row r="349" spans="1:10" ht="32.25" thickBot="1" x14ac:dyDescent="0.3">
      <c r="A349" s="971"/>
      <c r="B349" s="178"/>
      <c r="C349" s="179"/>
      <c r="D349" s="179"/>
      <c r="E349" s="179"/>
      <c r="F349" s="180"/>
      <c r="G349" s="179"/>
      <c r="H349" s="179"/>
      <c r="I349" s="179"/>
      <c r="J349" s="181"/>
    </row>
    <row r="350" spans="1:10" ht="32.25" thickBot="1" x14ac:dyDescent="0.3">
      <c r="A350" s="971"/>
      <c r="B350" s="178"/>
      <c r="C350" s="828" t="s">
        <v>71</v>
      </c>
      <c r="D350" s="835"/>
      <c r="E350" s="835"/>
      <c r="F350" s="835"/>
      <c r="G350" s="835"/>
      <c r="H350" s="835"/>
      <c r="I350" s="829"/>
      <c r="J350" s="181"/>
    </row>
    <row r="351" spans="1:10" ht="32.25" thickBot="1" x14ac:dyDescent="0.3">
      <c r="A351" s="971"/>
      <c r="B351" s="178"/>
      <c r="C351" s="179"/>
      <c r="D351" s="179"/>
      <c r="E351" s="179"/>
      <c r="F351" s="180"/>
      <c r="G351" s="179"/>
      <c r="H351" s="179"/>
      <c r="I351" s="179"/>
      <c r="J351" s="181"/>
    </row>
    <row r="352" spans="1:10" ht="61.5" x14ac:dyDescent="0.25">
      <c r="A352" s="971"/>
      <c r="B352" s="178"/>
      <c r="C352" s="952" t="s">
        <v>72</v>
      </c>
      <c r="D352" s="953"/>
      <c r="E352" s="55" t="s">
        <v>73</v>
      </c>
      <c r="F352" s="56" t="s">
        <v>641</v>
      </c>
      <c r="G352" s="55" t="s">
        <v>74</v>
      </c>
      <c r="H352" s="55" t="s">
        <v>129</v>
      </c>
      <c r="I352" s="57" t="s">
        <v>75</v>
      </c>
      <c r="J352" s="181"/>
    </row>
    <row r="353" spans="1:10" x14ac:dyDescent="0.25">
      <c r="A353" s="971"/>
      <c r="B353" s="178"/>
      <c r="C353" s="922" t="s">
        <v>76</v>
      </c>
      <c r="D353" s="923"/>
      <c r="E353" s="59"/>
      <c r="F353" s="81"/>
      <c r="G353" s="59"/>
      <c r="H353" s="61"/>
      <c r="I353" s="61"/>
      <c r="J353" s="181"/>
    </row>
    <row r="354" spans="1:10" x14ac:dyDescent="0.25">
      <c r="A354" s="971"/>
      <c r="B354" s="178"/>
      <c r="C354" s="933" t="s">
        <v>391</v>
      </c>
      <c r="D354" s="934"/>
      <c r="E354" s="9" t="s">
        <v>118</v>
      </c>
      <c r="F354" s="658">
        <v>3615.41</v>
      </c>
      <c r="G354" s="656">
        <v>1</v>
      </c>
      <c r="H354" s="659">
        <v>8</v>
      </c>
      <c r="I354" s="82">
        <f>(G354*H354)*7</f>
        <v>56</v>
      </c>
      <c r="J354" s="181"/>
    </row>
    <row r="355" spans="1:10" x14ac:dyDescent="0.25">
      <c r="A355" s="971"/>
      <c r="B355" s="178"/>
      <c r="C355" s="933" t="s">
        <v>274</v>
      </c>
      <c r="D355" s="934"/>
      <c r="E355" s="9" t="s">
        <v>278</v>
      </c>
      <c r="F355" s="658">
        <v>4820.54</v>
      </c>
      <c r="G355" s="656">
        <v>1</v>
      </c>
      <c r="H355" s="659">
        <v>8</v>
      </c>
      <c r="I355" s="82">
        <f t="shared" ref="I355:I360" si="5">(G355*H355)*7</f>
        <v>56</v>
      </c>
      <c r="J355" s="181"/>
    </row>
    <row r="356" spans="1:10" x14ac:dyDescent="0.25">
      <c r="A356" s="971"/>
      <c r="B356" s="178"/>
      <c r="C356" s="933" t="s">
        <v>275</v>
      </c>
      <c r="D356" s="934"/>
      <c r="E356" s="9" t="s">
        <v>275</v>
      </c>
      <c r="F356" s="658">
        <v>1698.2</v>
      </c>
      <c r="G356" s="656">
        <v>1</v>
      </c>
      <c r="H356" s="659">
        <v>8</v>
      </c>
      <c r="I356" s="82">
        <f t="shared" si="5"/>
        <v>56</v>
      </c>
      <c r="J356" s="181"/>
    </row>
    <row r="357" spans="1:10" x14ac:dyDescent="0.25">
      <c r="A357" s="971"/>
      <c r="B357" s="178"/>
      <c r="C357" s="62" t="s">
        <v>276</v>
      </c>
      <c r="D357" s="83"/>
      <c r="E357" s="9" t="s">
        <v>277</v>
      </c>
      <c r="F357" s="658">
        <v>1698.2</v>
      </c>
      <c r="G357" s="656">
        <v>2</v>
      </c>
      <c r="H357" s="659">
        <v>8</v>
      </c>
      <c r="I357" s="82">
        <f t="shared" si="5"/>
        <v>112</v>
      </c>
      <c r="J357" s="181"/>
    </row>
    <row r="358" spans="1:10" x14ac:dyDescent="0.25">
      <c r="A358" s="971"/>
      <c r="B358" s="178"/>
      <c r="C358" s="62" t="s">
        <v>79</v>
      </c>
      <c r="D358" s="83"/>
      <c r="E358" s="9" t="s">
        <v>79</v>
      </c>
      <c r="F358" s="658">
        <v>1698.2</v>
      </c>
      <c r="G358" s="656">
        <v>3</v>
      </c>
      <c r="H358" s="659">
        <v>8</v>
      </c>
      <c r="I358" s="82">
        <f t="shared" si="5"/>
        <v>168</v>
      </c>
      <c r="J358" s="181"/>
    </row>
    <row r="359" spans="1:10" x14ac:dyDescent="0.25">
      <c r="A359" s="971"/>
      <c r="B359" s="178"/>
      <c r="C359" s="62" t="s">
        <v>279</v>
      </c>
      <c r="D359" s="83"/>
      <c r="E359" s="9" t="s">
        <v>280</v>
      </c>
      <c r="F359" s="348">
        <f>'Caracterização do sistema'!I17</f>
        <v>10000</v>
      </c>
      <c r="G359" s="656">
        <v>1</v>
      </c>
      <c r="H359" s="659">
        <v>8</v>
      </c>
      <c r="I359" s="82">
        <f t="shared" si="5"/>
        <v>56</v>
      </c>
      <c r="J359" s="181"/>
    </row>
    <row r="360" spans="1:10" x14ac:dyDescent="0.25">
      <c r="A360" s="971"/>
      <c r="B360" s="178"/>
      <c r="C360" s="289" t="s">
        <v>730</v>
      </c>
      <c r="D360" s="290"/>
      <c r="E360" s="9"/>
      <c r="F360" s="658">
        <v>0</v>
      </c>
      <c r="G360" s="656">
        <v>0</v>
      </c>
      <c r="H360" s="659">
        <v>0</v>
      </c>
      <c r="I360" s="82">
        <f t="shared" si="5"/>
        <v>0</v>
      </c>
      <c r="J360" s="181"/>
    </row>
    <row r="361" spans="1:10" x14ac:dyDescent="0.25">
      <c r="A361" s="971"/>
      <c r="B361" s="178"/>
      <c r="C361" s="922" t="s">
        <v>80</v>
      </c>
      <c r="D361" s="923"/>
      <c r="E361" s="59"/>
      <c r="F361" s="315"/>
      <c r="G361" s="319"/>
      <c r="H361" s="86"/>
      <c r="I361" s="87"/>
      <c r="J361" s="181"/>
    </row>
    <row r="362" spans="1:10" x14ac:dyDescent="0.25">
      <c r="A362" s="971"/>
      <c r="B362" s="178"/>
      <c r="C362" s="933" t="s">
        <v>413</v>
      </c>
      <c r="D362" s="934"/>
      <c r="E362" s="9" t="s">
        <v>1009</v>
      </c>
      <c r="F362" s="658">
        <v>795.3</v>
      </c>
      <c r="G362" s="656">
        <v>1</v>
      </c>
      <c r="H362" s="659">
        <v>8</v>
      </c>
      <c r="I362" s="82">
        <f>H362/4</f>
        <v>2</v>
      </c>
      <c r="J362" s="181"/>
    </row>
    <row r="363" spans="1:10" x14ac:dyDescent="0.25">
      <c r="A363" s="971"/>
      <c r="B363" s="178"/>
      <c r="C363" s="66" t="s">
        <v>803</v>
      </c>
      <c r="D363" s="88"/>
      <c r="E363" s="89"/>
      <c r="F363" s="660">
        <v>0</v>
      </c>
      <c r="G363" s="657">
        <v>0</v>
      </c>
      <c r="H363" s="661">
        <v>0</v>
      </c>
      <c r="I363" s="304">
        <f>G363*H363</f>
        <v>0</v>
      </c>
      <c r="J363" s="181"/>
    </row>
    <row r="364" spans="1:10" ht="32.25" thickBot="1" x14ac:dyDescent="0.3">
      <c r="A364" s="971"/>
      <c r="B364" s="178"/>
      <c r="C364" s="182"/>
      <c r="D364" s="182"/>
      <c r="E364" s="183"/>
      <c r="F364" s="180"/>
      <c r="G364" s="184"/>
      <c r="H364" s="184"/>
      <c r="I364" s="185"/>
      <c r="J364" s="181"/>
    </row>
    <row r="365" spans="1:10" ht="32.25" thickBot="1" x14ac:dyDescent="0.3">
      <c r="A365" s="971"/>
      <c r="B365" s="178"/>
      <c r="C365" s="179"/>
      <c r="D365" s="828" t="s">
        <v>917</v>
      </c>
      <c r="E365" s="835"/>
      <c r="F365" s="835"/>
      <c r="G365" s="835"/>
      <c r="H365" s="829"/>
      <c r="I365" s="179"/>
      <c r="J365" s="181"/>
    </row>
    <row r="366" spans="1:10" ht="32.25" thickBot="1" x14ac:dyDescent="0.3">
      <c r="A366" s="971"/>
      <c r="B366" s="178"/>
      <c r="C366" s="179"/>
      <c r="D366" s="179"/>
      <c r="E366" s="179"/>
      <c r="F366" s="180"/>
      <c r="G366" s="183"/>
      <c r="H366" s="179"/>
      <c r="I366" s="179"/>
      <c r="J366" s="181"/>
    </row>
    <row r="367" spans="1:10" ht="61.5" x14ac:dyDescent="0.25">
      <c r="A367" s="971"/>
      <c r="B367" s="178"/>
      <c r="C367" s="179"/>
      <c r="D367" s="90" t="s">
        <v>11</v>
      </c>
      <c r="E367" s="91"/>
      <c r="F367" s="56" t="s">
        <v>642</v>
      </c>
      <c r="G367" s="55" t="s">
        <v>13</v>
      </c>
      <c r="H367" s="57" t="s">
        <v>81</v>
      </c>
      <c r="I367" s="179"/>
      <c r="J367" s="181"/>
    </row>
    <row r="368" spans="1:10" x14ac:dyDescent="0.25">
      <c r="A368" s="971"/>
      <c r="B368" s="178"/>
      <c r="C368" s="179"/>
      <c r="D368" s="92" t="s">
        <v>1030</v>
      </c>
      <c r="E368" s="93"/>
      <c r="F368" s="662">
        <v>58</v>
      </c>
      <c r="G368" s="680">
        <v>50</v>
      </c>
      <c r="H368" s="61" t="s">
        <v>84</v>
      </c>
      <c r="I368" s="179"/>
      <c r="J368" s="181"/>
    </row>
    <row r="369" spans="1:10" x14ac:dyDescent="0.25">
      <c r="A369" s="971"/>
      <c r="B369" s="178"/>
      <c r="C369" s="179"/>
      <c r="D369" s="72" t="s">
        <v>1031</v>
      </c>
      <c r="F369" s="658">
        <v>8.19</v>
      </c>
      <c r="G369" s="659">
        <v>50</v>
      </c>
      <c r="H369" s="73" t="s">
        <v>84</v>
      </c>
      <c r="I369" s="179"/>
      <c r="J369" s="181"/>
    </row>
    <row r="370" spans="1:10" x14ac:dyDescent="0.25">
      <c r="A370" s="971"/>
      <c r="B370" s="178"/>
      <c r="C370" s="179"/>
      <c r="D370" s="72" t="s">
        <v>919</v>
      </c>
      <c r="F370" s="658">
        <v>38.43</v>
      </c>
      <c r="G370" s="659">
        <v>20</v>
      </c>
      <c r="H370" s="73" t="s">
        <v>920</v>
      </c>
      <c r="I370" s="179"/>
      <c r="J370" s="181"/>
    </row>
    <row r="371" spans="1:10" x14ac:dyDescent="0.25">
      <c r="A371" s="971"/>
      <c r="B371" s="178"/>
      <c r="C371" s="179"/>
      <c r="D371" s="72" t="s">
        <v>1032</v>
      </c>
      <c r="F371" s="658">
        <v>35.130000000000003</v>
      </c>
      <c r="G371" s="659">
        <v>90</v>
      </c>
      <c r="H371" s="73" t="s">
        <v>920</v>
      </c>
      <c r="I371" s="179"/>
      <c r="J371" s="181"/>
    </row>
    <row r="372" spans="1:10" x14ac:dyDescent="0.25">
      <c r="A372" s="971"/>
      <c r="B372" s="178"/>
      <c r="C372" s="179"/>
      <c r="D372" s="72" t="s">
        <v>1028</v>
      </c>
      <c r="F372" s="658">
        <v>0.39</v>
      </c>
      <c r="G372" s="659">
        <v>500</v>
      </c>
      <c r="H372" s="73" t="s">
        <v>920</v>
      </c>
      <c r="I372" s="179"/>
      <c r="J372" s="181"/>
    </row>
    <row r="373" spans="1:10" ht="63" customHeight="1" x14ac:dyDescent="0.25">
      <c r="A373" s="971"/>
      <c r="B373" s="178"/>
      <c r="C373" s="179"/>
      <c r="D373" s="933" t="s">
        <v>1053</v>
      </c>
      <c r="E373" s="934"/>
      <c r="F373" s="658">
        <v>6.32</v>
      </c>
      <c r="G373" s="659">
        <v>36</v>
      </c>
      <c r="H373" s="73" t="s">
        <v>1081</v>
      </c>
      <c r="I373" s="179"/>
      <c r="J373" s="181"/>
    </row>
    <row r="374" spans="1:10" x14ac:dyDescent="0.25">
      <c r="A374" s="971"/>
      <c r="B374" s="178"/>
      <c r="C374" s="179"/>
      <c r="D374" s="62" t="s">
        <v>93</v>
      </c>
      <c r="E374" s="83"/>
      <c r="F374" s="658">
        <v>0</v>
      </c>
      <c r="G374" s="659">
        <v>0</v>
      </c>
      <c r="H374" s="73"/>
      <c r="I374" s="179"/>
      <c r="J374" s="181"/>
    </row>
    <row r="375" spans="1:10" x14ac:dyDescent="0.25">
      <c r="A375" s="971"/>
      <c r="B375" s="178"/>
      <c r="C375" s="179"/>
      <c r="D375" s="62" t="s">
        <v>93</v>
      </c>
      <c r="E375" s="83"/>
      <c r="F375" s="658">
        <v>0</v>
      </c>
      <c r="G375" s="659">
        <v>0</v>
      </c>
      <c r="H375" s="73"/>
      <c r="I375" s="179"/>
      <c r="J375" s="181"/>
    </row>
    <row r="376" spans="1:10" x14ac:dyDescent="0.25">
      <c r="A376" s="971"/>
      <c r="B376" s="178"/>
      <c r="C376" s="179"/>
      <c r="D376" s="62" t="s">
        <v>93</v>
      </c>
      <c r="E376" s="83"/>
      <c r="F376" s="658">
        <v>0</v>
      </c>
      <c r="G376" s="659">
        <v>0</v>
      </c>
      <c r="H376" s="73"/>
      <c r="I376" s="179"/>
      <c r="J376" s="181"/>
    </row>
    <row r="377" spans="1:10" x14ac:dyDescent="0.25">
      <c r="A377" s="971"/>
      <c r="B377" s="178"/>
      <c r="C377" s="179"/>
      <c r="D377" s="66" t="s">
        <v>93</v>
      </c>
      <c r="E377" s="88"/>
      <c r="F377" s="660">
        <v>0</v>
      </c>
      <c r="G377" s="661">
        <v>0</v>
      </c>
      <c r="H377" s="74"/>
      <c r="I377" s="179"/>
      <c r="J377" s="181"/>
    </row>
    <row r="378" spans="1:10" ht="32.25" thickBot="1" x14ac:dyDescent="0.3">
      <c r="A378" s="971"/>
      <c r="B378" s="178"/>
      <c r="C378" s="179"/>
      <c r="D378" s="182"/>
      <c r="E378" s="182"/>
      <c r="F378" s="180"/>
      <c r="G378" s="183"/>
      <c r="H378" s="183"/>
      <c r="I378" s="179"/>
      <c r="J378" s="181"/>
    </row>
    <row r="379" spans="1:10" ht="32.25" thickBot="1" x14ac:dyDescent="0.3">
      <c r="A379" s="971"/>
      <c r="B379" s="937" t="s">
        <v>809</v>
      </c>
      <c r="C379" s="938"/>
      <c r="D379" s="938"/>
      <c r="E379" s="938"/>
      <c r="F379" s="938"/>
      <c r="G379" s="939"/>
      <c r="H379" s="968">
        <f>SUM('Custo de produção por lotes'!L228:M228)</f>
        <v>1763.4798619102417</v>
      </c>
      <c r="I379" s="969"/>
      <c r="J379" s="970"/>
    </row>
  </sheetData>
  <sheetProtection algorithmName="SHA-512" hashValue="Hf2N8gBvPFiC0BAHDMNsON8xFjCAWh2IIWhPXN7LFTJAagOCe7BqIijXGmXhTXZsb9Ju7jnIf5q7a5c9SSbDTA==" saltValue="W5Kqjt5p4mkxrWZ4Xi0bMA==" spinCount="100000" sheet="1" objects="1" scenarios="1"/>
  <mergeCells count="124">
    <mergeCell ref="A3:A51"/>
    <mergeCell ref="A55:A162"/>
    <mergeCell ref="A166:A226"/>
    <mergeCell ref="D327:E327"/>
    <mergeCell ref="D328:E328"/>
    <mergeCell ref="D153:E153"/>
    <mergeCell ref="D249:H249"/>
    <mergeCell ref="C258:I258"/>
    <mergeCell ref="C231:I231"/>
    <mergeCell ref="D240:H240"/>
    <mergeCell ref="C287:I287"/>
    <mergeCell ref="C266:D266"/>
    <mergeCell ref="D268:H268"/>
    <mergeCell ref="C260:D260"/>
    <mergeCell ref="C261:D261"/>
    <mergeCell ref="C262:D262"/>
    <mergeCell ref="C263:D263"/>
    <mergeCell ref="C265:D265"/>
    <mergeCell ref="H227:J227"/>
    <mergeCell ref="D271:E271"/>
    <mergeCell ref="D272:E272"/>
    <mergeCell ref="C204:D204"/>
    <mergeCell ref="C205:D205"/>
    <mergeCell ref="D273:E273"/>
    <mergeCell ref="C362:D362"/>
    <mergeCell ref="C350:I350"/>
    <mergeCell ref="C352:D352"/>
    <mergeCell ref="C353:D353"/>
    <mergeCell ref="C355:D355"/>
    <mergeCell ref="C356:D356"/>
    <mergeCell ref="D373:E373"/>
    <mergeCell ref="C314:I314"/>
    <mergeCell ref="A286:A345"/>
    <mergeCell ref="D331:E331"/>
    <mergeCell ref="D329:E329"/>
    <mergeCell ref="C317:D317"/>
    <mergeCell ref="C318:D318"/>
    <mergeCell ref="C319:D319"/>
    <mergeCell ref="C32:D32"/>
    <mergeCell ref="D41:E41"/>
    <mergeCell ref="D127:F127"/>
    <mergeCell ref="D365:H365"/>
    <mergeCell ref="D42:E42"/>
    <mergeCell ref="D154:E154"/>
    <mergeCell ref="D218:E218"/>
    <mergeCell ref="D219:E219"/>
    <mergeCell ref="D152:E152"/>
    <mergeCell ref="D151:E151"/>
    <mergeCell ref="D40:E40"/>
    <mergeCell ref="D215:E215"/>
    <mergeCell ref="D216:E216"/>
    <mergeCell ref="C167:I167"/>
    <mergeCell ref="D212:H212"/>
    <mergeCell ref="C209:D209"/>
    <mergeCell ref="C210:D210"/>
    <mergeCell ref="D217:E217"/>
    <mergeCell ref="C202:I202"/>
    <mergeCell ref="C206:D206"/>
    <mergeCell ref="C207:D207"/>
    <mergeCell ref="D182:H182"/>
    <mergeCell ref="D192:H192"/>
    <mergeCell ref="D148:H148"/>
    <mergeCell ref="A230:A282"/>
    <mergeCell ref="B379:G379"/>
    <mergeCell ref="B283:G283"/>
    <mergeCell ref="H283:J283"/>
    <mergeCell ref="B285:J285"/>
    <mergeCell ref="D339:H339"/>
    <mergeCell ref="G341:H341"/>
    <mergeCell ref="G342:H342"/>
    <mergeCell ref="G344:H344"/>
    <mergeCell ref="G343:H343"/>
    <mergeCell ref="B346:G346"/>
    <mergeCell ref="H346:J346"/>
    <mergeCell ref="B348:J348"/>
    <mergeCell ref="H379:J379"/>
    <mergeCell ref="C322:D322"/>
    <mergeCell ref="D324:H324"/>
    <mergeCell ref="C316:D316"/>
    <mergeCell ref="C321:D321"/>
    <mergeCell ref="D296:H296"/>
    <mergeCell ref="D305:H305"/>
    <mergeCell ref="D275:E275"/>
    <mergeCell ref="A348:A379"/>
    <mergeCell ref="C354:D354"/>
    <mergeCell ref="C361:D361"/>
    <mergeCell ref="B2:J2"/>
    <mergeCell ref="B52:G52"/>
    <mergeCell ref="H52:J52"/>
    <mergeCell ref="B54:J54"/>
    <mergeCell ref="B163:G163"/>
    <mergeCell ref="H163:J163"/>
    <mergeCell ref="C146:D146"/>
    <mergeCell ref="D111:H111"/>
    <mergeCell ref="D112:H112"/>
    <mergeCell ref="D113:H113"/>
    <mergeCell ref="D121:H121"/>
    <mergeCell ref="C4:I4"/>
    <mergeCell ref="D11:H11"/>
    <mergeCell ref="D19:H19"/>
    <mergeCell ref="D73:H73"/>
    <mergeCell ref="D95:H95"/>
    <mergeCell ref="C27:I27"/>
    <mergeCell ref="C136:I136"/>
    <mergeCell ref="C138:D138"/>
    <mergeCell ref="C35:D35"/>
    <mergeCell ref="D37:H37"/>
    <mergeCell ref="C29:D29"/>
    <mergeCell ref="C30:D30"/>
    <mergeCell ref="C31:D31"/>
    <mergeCell ref="C139:D139"/>
    <mergeCell ref="C56:I56"/>
    <mergeCell ref="D125:H125"/>
    <mergeCell ref="C34:D34"/>
    <mergeCell ref="B165:J165"/>
    <mergeCell ref="B227:G227"/>
    <mergeCell ref="B229:J229"/>
    <mergeCell ref="D115:F115"/>
    <mergeCell ref="C145:D145"/>
    <mergeCell ref="C140:D140"/>
    <mergeCell ref="C141:D141"/>
    <mergeCell ref="D43:E43"/>
    <mergeCell ref="D155:E155"/>
    <mergeCell ref="D221:E221"/>
  </mergeCells>
  <pageMargins left="0.511811024" right="0.511811024" top="0.78740157499999996" bottom="0.78740157499999996" header="0.31496062000000002" footer="0.31496062000000002"/>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7">
    <tabColor rgb="FFC17988"/>
  </sheetPr>
  <dimension ref="A1:S716"/>
  <sheetViews>
    <sheetView zoomScale="41" zoomScaleNormal="41" workbookViewId="0">
      <pane ySplit="1" topLeftCell="A702" activePane="bottomLeft" state="frozen"/>
      <selection pane="bottomLeft" activeCell="L711" sqref="L711:M711"/>
    </sheetView>
  </sheetViews>
  <sheetFormatPr defaultRowHeight="31.5" x14ac:dyDescent="0.25"/>
  <cols>
    <col min="1" max="1" width="9.140625" style="14"/>
    <col min="2" max="2" width="9.140625" style="193" customWidth="1"/>
    <col min="3" max="3" width="9.140625" style="193"/>
    <col min="4" max="4" width="14" style="193" bestFit="1" customWidth="1"/>
    <col min="5" max="5" width="18" style="193" bestFit="1" customWidth="1"/>
    <col min="6" max="6" width="6.28515625" style="193" customWidth="1"/>
    <col min="7" max="7" width="11.42578125" style="193" customWidth="1"/>
    <col min="8" max="8" width="12.140625" style="193" customWidth="1"/>
    <col min="9" max="9" width="17.85546875" style="193" customWidth="1"/>
    <col min="10" max="10" width="22.7109375" style="193" customWidth="1"/>
    <col min="11" max="11" width="27.5703125" style="193" customWidth="1"/>
    <col min="12" max="12" width="29.28515625" style="194" customWidth="1"/>
    <col min="13" max="13" width="25.42578125" style="194" bestFit="1" customWidth="1"/>
    <col min="14" max="14" width="14.42578125" style="194" customWidth="1"/>
    <col min="15" max="15" width="38.85546875" style="194" customWidth="1"/>
    <col min="16" max="16" width="17.140625" style="194" customWidth="1"/>
    <col min="17" max="17" width="40.5703125" style="194" customWidth="1"/>
    <col min="18" max="18" width="45.85546875" style="193" bestFit="1" customWidth="1"/>
    <col min="19" max="19" width="38.85546875" style="193" bestFit="1" customWidth="1"/>
    <col min="20" max="16384" width="9.140625" style="193"/>
  </cols>
  <sheetData>
    <row r="1" spans="1:19" s="288" customFormat="1" ht="39" thickBot="1" x14ac:dyDescent="0.3">
      <c r="A1" s="14"/>
      <c r="B1" s="924" t="s">
        <v>217</v>
      </c>
      <c r="C1" s="925"/>
      <c r="D1" s="925"/>
      <c r="E1" s="925"/>
      <c r="F1" s="925"/>
      <c r="G1" s="925"/>
      <c r="H1" s="925"/>
      <c r="I1" s="925"/>
      <c r="J1" s="925"/>
      <c r="K1" s="925"/>
      <c r="L1" s="925"/>
      <c r="M1" s="925"/>
      <c r="N1" s="925"/>
      <c r="O1" s="925"/>
      <c r="P1" s="925"/>
      <c r="Q1" s="926"/>
    </row>
    <row r="2" spans="1:19" ht="32.25" thickBot="1" x14ac:dyDescent="0.3">
      <c r="R2" s="592"/>
    </row>
    <row r="3" spans="1:19" s="288" customFormat="1" ht="72" customHeight="1" thickBot="1" x14ac:dyDescent="0.3">
      <c r="A3" s="327"/>
      <c r="B3" s="1081" t="s">
        <v>130</v>
      </c>
      <c r="C3" s="1082"/>
      <c r="D3" s="1082"/>
      <c r="E3" s="1082"/>
      <c r="F3" s="1082"/>
      <c r="G3" s="1082"/>
      <c r="H3" s="1082"/>
      <c r="I3" s="1082"/>
      <c r="J3" s="1082"/>
      <c r="K3" s="1083"/>
      <c r="L3" s="1079" t="s">
        <v>136</v>
      </c>
      <c r="M3" s="1080"/>
      <c r="N3" s="1079" t="s">
        <v>215</v>
      </c>
      <c r="O3" s="1080"/>
      <c r="P3" s="1079" t="s">
        <v>216</v>
      </c>
      <c r="Q3" s="1080"/>
      <c r="S3" s="593">
        <f ca="1">NOW()</f>
        <v>44379.684951388888</v>
      </c>
    </row>
    <row r="4" spans="1:19" x14ac:dyDescent="0.25">
      <c r="B4" s="195" t="s">
        <v>154</v>
      </c>
      <c r="C4" s="196"/>
      <c r="D4" s="197"/>
      <c r="E4" s="197"/>
      <c r="F4" s="197"/>
      <c r="G4" s="197"/>
      <c r="H4" s="197"/>
      <c r="I4" s="197"/>
      <c r="J4" s="197"/>
      <c r="K4" s="197"/>
      <c r="L4" s="1061"/>
      <c r="M4" s="1062"/>
      <c r="N4" s="1061"/>
      <c r="O4" s="1062"/>
      <c r="P4" s="1061"/>
      <c r="Q4" s="1065"/>
    </row>
    <row r="5" spans="1:19" x14ac:dyDescent="0.25">
      <c r="B5" s="198"/>
      <c r="C5" s="199"/>
      <c r="D5" s="200"/>
      <c r="E5" s="200"/>
      <c r="F5" s="200"/>
      <c r="G5" s="200"/>
      <c r="H5" s="200"/>
      <c r="I5" s="200"/>
      <c r="J5" s="200"/>
      <c r="K5" s="200"/>
      <c r="L5" s="340"/>
      <c r="M5" s="341"/>
      <c r="N5" s="340"/>
      <c r="O5" s="341"/>
      <c r="P5" s="340"/>
      <c r="Q5" s="345"/>
    </row>
    <row r="6" spans="1:19" x14ac:dyDescent="0.25">
      <c r="B6" s="201"/>
      <c r="C6" s="202" t="s">
        <v>131</v>
      </c>
      <c r="D6" s="200"/>
      <c r="E6" s="200"/>
      <c r="F6" s="200"/>
      <c r="G6" s="200"/>
      <c r="H6" s="200"/>
      <c r="I6" s="200"/>
      <c r="J6" s="200"/>
      <c r="K6" s="200"/>
      <c r="L6" s="981"/>
      <c r="M6" s="982"/>
      <c r="N6" s="981"/>
      <c r="O6" s="982"/>
      <c r="P6" s="981"/>
      <c r="Q6" s="983"/>
    </row>
    <row r="7" spans="1:19" ht="31.5" customHeight="1" x14ac:dyDescent="0.25">
      <c r="B7" s="50"/>
      <c r="C7" s="203"/>
      <c r="D7" s="204" t="s">
        <v>132</v>
      </c>
      <c r="E7" s="205" t="str">
        <f>'Insumos e serviços'!C7</f>
        <v xml:space="preserve">Marrãs </v>
      </c>
      <c r="F7" s="203"/>
      <c r="G7" s="203"/>
      <c r="H7" s="203"/>
      <c r="I7" s="203"/>
      <c r="J7" s="203"/>
      <c r="K7" s="203"/>
      <c r="L7" s="1000"/>
      <c r="M7" s="1015"/>
      <c r="N7" s="1000"/>
      <c r="O7" s="1015"/>
      <c r="P7" s="1000"/>
      <c r="Q7" s="1001"/>
    </row>
    <row r="8" spans="1:19" x14ac:dyDescent="0.25">
      <c r="B8" s="206"/>
      <c r="C8" s="203"/>
      <c r="D8" s="203" t="s">
        <v>133</v>
      </c>
      <c r="E8" s="203" t="str">
        <f>'Insumos e serviços'!C8</f>
        <v xml:space="preserve">Reposição </v>
      </c>
      <c r="F8" s="203"/>
      <c r="G8" s="203"/>
      <c r="H8" s="203"/>
      <c r="I8" s="203"/>
      <c r="J8" s="203"/>
      <c r="K8" s="203"/>
      <c r="L8" s="1000">
        <f>'Insumos e serviços'!F8*'Insumos e serviços'!I8</f>
        <v>5107.4118986301382</v>
      </c>
      <c r="M8" s="1015"/>
      <c r="N8" s="1000">
        <f>L8*(4.345)</f>
        <v>22191.70469954795</v>
      </c>
      <c r="O8" s="1015"/>
      <c r="P8" s="1000">
        <f>N8*12</f>
        <v>266300.45639457542</v>
      </c>
      <c r="Q8" s="1001"/>
    </row>
    <row r="9" spans="1:19" x14ac:dyDescent="0.25">
      <c r="B9" s="206"/>
      <c r="C9" s="203"/>
      <c r="D9" s="203" t="s">
        <v>134</v>
      </c>
      <c r="E9" s="203" t="str">
        <f>'Insumos e serviços'!C9</f>
        <v xml:space="preserve">Flushing </v>
      </c>
      <c r="F9" s="203"/>
      <c r="G9" s="203"/>
      <c r="H9" s="203"/>
      <c r="I9" s="203"/>
      <c r="J9" s="203"/>
      <c r="K9" s="203"/>
      <c r="L9" s="1000">
        <f>'Insumos e serviços'!F9*'Insumos e serviços'!I9</f>
        <v>1388.9620547945206</v>
      </c>
      <c r="M9" s="1015"/>
      <c r="N9" s="1000">
        <f>L9*(4.345)</f>
        <v>6035.0401280821916</v>
      </c>
      <c r="O9" s="1015"/>
      <c r="P9" s="1000">
        <f>N9*12</f>
        <v>72420.481536986306</v>
      </c>
      <c r="Q9" s="1001"/>
    </row>
    <row r="10" spans="1:19" ht="46.5" customHeight="1" x14ac:dyDescent="0.25">
      <c r="B10" s="1034" t="s">
        <v>135</v>
      </c>
      <c r="C10" s="1035"/>
      <c r="D10" s="1035"/>
      <c r="E10" s="1035"/>
      <c r="F10" s="1035"/>
      <c r="G10" s="1035"/>
      <c r="H10" s="1035"/>
      <c r="I10" s="1035"/>
      <c r="J10" s="1035"/>
      <c r="K10" s="1035"/>
      <c r="L10" s="992">
        <f>SUM(L8:M9)</f>
        <v>6496.3739534246588</v>
      </c>
      <c r="M10" s="993"/>
      <c r="N10" s="992">
        <f>SUM(N8:O9)</f>
        <v>28226.744827630144</v>
      </c>
      <c r="O10" s="993"/>
      <c r="P10" s="992">
        <f>SUM(P8:Q9)</f>
        <v>338720.93793156173</v>
      </c>
      <c r="Q10" s="994"/>
    </row>
    <row r="11" spans="1:19" x14ac:dyDescent="0.25">
      <c r="B11" s="94"/>
      <c r="C11" s="207"/>
      <c r="D11" s="208" t="s">
        <v>155</v>
      </c>
      <c r="E11" s="209" t="str">
        <f>'Insumos e serviços'!C59</f>
        <v>Marrãs gestação</v>
      </c>
      <c r="F11" s="207"/>
      <c r="G11" s="207"/>
      <c r="H11" s="207"/>
      <c r="I11" s="207"/>
      <c r="J11" s="207"/>
      <c r="K11" s="207"/>
      <c r="L11" s="984"/>
      <c r="M11" s="985"/>
      <c r="N11" s="984"/>
      <c r="O11" s="985"/>
      <c r="P11" s="984"/>
      <c r="Q11" s="986"/>
    </row>
    <row r="12" spans="1:19" x14ac:dyDescent="0.25">
      <c r="B12" s="210"/>
      <c r="C12" s="207"/>
      <c r="D12" s="207" t="s">
        <v>157</v>
      </c>
      <c r="E12" s="207" t="str">
        <f>'Insumos e serviços'!C60</f>
        <v>Gestação nulíparas (0 aos 21 d)</v>
      </c>
      <c r="F12" s="207"/>
      <c r="G12" s="207"/>
      <c r="H12" s="207"/>
      <c r="I12" s="207"/>
      <c r="J12" s="207"/>
      <c r="K12" s="207"/>
      <c r="L12" s="984">
        <f>'Insumos e serviços'!F60*'Insumos e serviços'!I60</f>
        <v>1371.9543561643839</v>
      </c>
      <c r="M12" s="985"/>
      <c r="N12" s="984">
        <f>L12*4.345</f>
        <v>5961.1416775342477</v>
      </c>
      <c r="O12" s="985"/>
      <c r="P12" s="984">
        <f>N12*12</f>
        <v>71533.700130410973</v>
      </c>
      <c r="Q12" s="986"/>
    </row>
    <row r="13" spans="1:19" x14ac:dyDescent="0.25">
      <c r="B13" s="210"/>
      <c r="C13" s="207"/>
      <c r="D13" s="207" t="s">
        <v>158</v>
      </c>
      <c r="E13" s="207" t="str">
        <f>'Insumos e serviços'!C61</f>
        <v>Gestação nulíparas (21 aos 90 d)</v>
      </c>
      <c r="F13" s="207"/>
      <c r="G13" s="207"/>
      <c r="H13" s="207"/>
      <c r="I13" s="207"/>
      <c r="J13" s="207"/>
      <c r="K13" s="207"/>
      <c r="L13" s="984">
        <f>'Insumos e serviços'!F61*'Insumos e serviços'!I61</f>
        <v>4889.7133561643832</v>
      </c>
      <c r="M13" s="985"/>
      <c r="N13" s="984">
        <f>L13*4.345</f>
        <v>21245.804532534243</v>
      </c>
      <c r="O13" s="985"/>
      <c r="P13" s="984">
        <f>N13*12</f>
        <v>254949.65439041093</v>
      </c>
      <c r="Q13" s="986"/>
    </row>
    <row r="14" spans="1:19" x14ac:dyDescent="0.25">
      <c r="B14" s="210"/>
      <c r="C14" s="207"/>
      <c r="D14" s="207" t="s">
        <v>159</v>
      </c>
      <c r="E14" s="207" t="str">
        <f>'Insumos e serviços'!C62</f>
        <v>Gestação nulíparas (91 aos 109 d)</v>
      </c>
      <c r="F14" s="207"/>
      <c r="G14" s="207"/>
      <c r="H14" s="207"/>
      <c r="I14" s="207"/>
      <c r="J14" s="207"/>
      <c r="K14" s="207"/>
      <c r="L14" s="984">
        <f>'Insumos e serviços'!F62*'Insumos e serviços'!I62</f>
        <v>1275.577397260274</v>
      </c>
      <c r="M14" s="985"/>
      <c r="N14" s="984">
        <f>L14*4.345</f>
        <v>5542.38379109589</v>
      </c>
      <c r="O14" s="985"/>
      <c r="P14" s="984">
        <f>N14*12</f>
        <v>66508.605493150681</v>
      </c>
      <c r="Q14" s="986"/>
    </row>
    <row r="15" spans="1:19" x14ac:dyDescent="0.25">
      <c r="B15" s="210"/>
      <c r="C15" s="207"/>
      <c r="D15" s="208" t="s">
        <v>160</v>
      </c>
      <c r="E15" s="209" t="str">
        <f>'Insumos e serviços'!C63</f>
        <v>Matrizes</v>
      </c>
      <c r="F15" s="207"/>
      <c r="G15" s="207"/>
      <c r="H15" s="207"/>
      <c r="I15" s="207"/>
      <c r="J15" s="207"/>
      <c r="K15" s="207"/>
      <c r="L15" s="984"/>
      <c r="M15" s="985"/>
      <c r="N15" s="984"/>
      <c r="O15" s="985"/>
      <c r="P15" s="984"/>
      <c r="Q15" s="986"/>
    </row>
    <row r="16" spans="1:19" x14ac:dyDescent="0.25">
      <c r="B16" s="210"/>
      <c r="C16" s="207"/>
      <c r="D16" s="207" t="s">
        <v>162</v>
      </c>
      <c r="E16" s="207" t="str">
        <f>'Insumos e serviços'!C64</f>
        <v>Gestação (0 aos 21 d)</v>
      </c>
      <c r="F16" s="207"/>
      <c r="G16" s="207"/>
      <c r="H16" s="207"/>
      <c r="I16" s="207"/>
      <c r="J16" s="207"/>
      <c r="K16" s="207"/>
      <c r="L16" s="984">
        <f>'Insumos e serviços'!F64*'Insumos e serviços'!I64</f>
        <v>7952.6891522333617</v>
      </c>
      <c r="M16" s="985"/>
      <c r="N16" s="984">
        <f>L16*4.345</f>
        <v>34554.434366453956</v>
      </c>
      <c r="O16" s="985"/>
      <c r="P16" s="984">
        <f>N16*12</f>
        <v>414653.21239744744</v>
      </c>
      <c r="Q16" s="986"/>
    </row>
    <row r="17" spans="1:17" x14ac:dyDescent="0.25">
      <c r="B17" s="210"/>
      <c r="C17" s="207"/>
      <c r="D17" s="207" t="s">
        <v>163</v>
      </c>
      <c r="E17" s="207" t="str">
        <f>'Insumos e serviços'!C65</f>
        <v>Gestação (21 aos 90 d)</v>
      </c>
      <c r="F17" s="207"/>
      <c r="G17" s="207"/>
      <c r="H17" s="207"/>
      <c r="I17" s="207"/>
      <c r="J17" s="207"/>
      <c r="K17" s="207"/>
      <c r="L17" s="984">
        <f>'Insumos e serviços'!F65*'Insumos e serviços'!I65</f>
        <v>28343.778486782128</v>
      </c>
      <c r="M17" s="985"/>
      <c r="N17" s="984">
        <f>L17*4.345</f>
        <v>123153.71752506834</v>
      </c>
      <c r="O17" s="985"/>
      <c r="P17" s="984">
        <f>N17*12</f>
        <v>1477844.6103008201</v>
      </c>
      <c r="Q17" s="986"/>
    </row>
    <row r="18" spans="1:17" x14ac:dyDescent="0.25">
      <c r="B18" s="210"/>
      <c r="C18" s="207"/>
      <c r="D18" s="207" t="s">
        <v>164</v>
      </c>
      <c r="E18" s="207" t="str">
        <f>'Insumos e serviços'!C66</f>
        <v>Gestação (91 aos 109 d)</v>
      </c>
      <c r="F18" s="207"/>
      <c r="G18" s="207"/>
      <c r="H18" s="207"/>
      <c r="I18" s="207"/>
      <c r="J18" s="207"/>
      <c r="K18" s="207"/>
      <c r="L18" s="984">
        <f>'Insumos e serviços'!F66*'Insumos e serviços'!I66</f>
        <v>7394.0291704649026</v>
      </c>
      <c r="M18" s="985"/>
      <c r="N18" s="984">
        <f>L18*4.345</f>
        <v>32127.056745670001</v>
      </c>
      <c r="O18" s="985"/>
      <c r="P18" s="984">
        <f>N18*12</f>
        <v>385524.68094803998</v>
      </c>
      <c r="Q18" s="986"/>
    </row>
    <row r="19" spans="1:17" x14ac:dyDescent="0.25">
      <c r="B19" s="210"/>
      <c r="C19" s="207"/>
      <c r="D19" s="208" t="s">
        <v>161</v>
      </c>
      <c r="E19" s="209" t="str">
        <f>'Insumos e serviços'!C67</f>
        <v>Cachaços</v>
      </c>
      <c r="F19" s="207"/>
      <c r="G19" s="207"/>
      <c r="H19" s="207"/>
      <c r="I19" s="207"/>
      <c r="J19" s="207"/>
      <c r="K19" s="207"/>
      <c r="L19" s="984"/>
      <c r="M19" s="985"/>
      <c r="N19" s="984"/>
      <c r="O19" s="985"/>
      <c r="P19" s="984"/>
      <c r="Q19" s="986"/>
    </row>
    <row r="20" spans="1:17" x14ac:dyDescent="0.25">
      <c r="B20" s="210"/>
      <c r="C20" s="207"/>
      <c r="D20" s="207" t="s">
        <v>165</v>
      </c>
      <c r="E20" s="207" t="str">
        <f>'Insumos e serviços'!C68</f>
        <v>Ração 1</v>
      </c>
      <c r="F20" s="207"/>
      <c r="G20" s="207"/>
      <c r="H20" s="207"/>
      <c r="I20" s="207"/>
      <c r="J20" s="207"/>
      <c r="K20" s="207"/>
      <c r="L20" s="984">
        <f>'Insumos e serviços'!F68*'Insumos e serviços'!I68</f>
        <v>424.78916666666663</v>
      </c>
      <c r="M20" s="985"/>
      <c r="N20" s="984">
        <f>L20*4.345</f>
        <v>1845.7089291666664</v>
      </c>
      <c r="O20" s="985"/>
      <c r="P20" s="984">
        <f>N20*12</f>
        <v>22148.507149999998</v>
      </c>
      <c r="Q20" s="986"/>
    </row>
    <row r="21" spans="1:17" x14ac:dyDescent="0.25">
      <c r="B21" s="210"/>
      <c r="C21" s="207"/>
      <c r="D21" s="207" t="s">
        <v>166</v>
      </c>
      <c r="E21" s="207" t="str">
        <f>'Insumos e serviços'!C69</f>
        <v xml:space="preserve">Suplemento </v>
      </c>
      <c r="F21" s="207"/>
      <c r="G21" s="207"/>
      <c r="H21" s="207"/>
      <c r="I21" s="207"/>
      <c r="J21" s="207"/>
      <c r="K21" s="207"/>
      <c r="L21" s="984">
        <f>'Insumos e serviços'!F69*'Insumos e serviços'!I69</f>
        <v>0</v>
      </c>
      <c r="M21" s="985"/>
      <c r="N21" s="984">
        <f>L21*4.345</f>
        <v>0</v>
      </c>
      <c r="O21" s="985"/>
      <c r="P21" s="984">
        <f>N21*12</f>
        <v>0</v>
      </c>
      <c r="Q21" s="986"/>
    </row>
    <row r="22" spans="1:17" x14ac:dyDescent="0.25">
      <c r="B22" s="210"/>
      <c r="C22" s="207"/>
      <c r="D22" s="208" t="s">
        <v>167</v>
      </c>
      <c r="E22" s="209" t="str">
        <f>'Insumos e serviços'!C70</f>
        <v>Rufiões</v>
      </c>
      <c r="F22" s="207"/>
      <c r="G22" s="207"/>
      <c r="H22" s="207"/>
      <c r="I22" s="207"/>
      <c r="J22" s="207"/>
      <c r="K22" s="207"/>
      <c r="L22" s="984"/>
      <c r="M22" s="985"/>
      <c r="N22" s="984"/>
      <c r="O22" s="985"/>
      <c r="P22" s="984"/>
      <c r="Q22" s="986"/>
    </row>
    <row r="23" spans="1:17" x14ac:dyDescent="0.25">
      <c r="B23" s="210"/>
      <c r="C23" s="207"/>
      <c r="D23" s="207" t="s">
        <v>168</v>
      </c>
      <c r="E23" s="207" t="str">
        <f>'Insumos e serviços'!C71</f>
        <v xml:space="preserve">Gestação </v>
      </c>
      <c r="F23" s="207"/>
      <c r="G23" s="207"/>
      <c r="H23" s="207"/>
      <c r="I23" s="207"/>
      <c r="J23" s="207"/>
      <c r="K23" s="207"/>
      <c r="L23" s="984">
        <f>'Insumos e serviços'!F71*'Insumos e serviços'!I71</f>
        <v>637.18375000000003</v>
      </c>
      <c r="M23" s="985"/>
      <c r="N23" s="984">
        <f>L23*4.345</f>
        <v>2768.5633937500002</v>
      </c>
      <c r="O23" s="985"/>
      <c r="P23" s="984">
        <f>N23*12</f>
        <v>33222.760725</v>
      </c>
      <c r="Q23" s="986"/>
    </row>
    <row r="24" spans="1:17" s="1" customFormat="1" ht="62.25" customHeight="1" x14ac:dyDescent="0.25">
      <c r="A24" s="14"/>
      <c r="B24" s="1036" t="s">
        <v>169</v>
      </c>
      <c r="C24" s="1037"/>
      <c r="D24" s="1037"/>
      <c r="E24" s="1037"/>
      <c r="F24" s="1037"/>
      <c r="G24" s="1037"/>
      <c r="H24" s="1037"/>
      <c r="I24" s="1037"/>
      <c r="J24" s="1037"/>
      <c r="K24" s="1037"/>
      <c r="L24" s="1076">
        <f>SUM(L12:M14,L16:M18,L20:M21,L23)</f>
        <v>52289.7148357361</v>
      </c>
      <c r="M24" s="1078"/>
      <c r="N24" s="1076">
        <f>SUM(N12:O14,N16:O18,N20:O21,N23)</f>
        <v>227198.81096127335</v>
      </c>
      <c r="O24" s="1078"/>
      <c r="P24" s="1076">
        <f>SUM(P12:Q14,P16:Q18,P20:Q21,P23)</f>
        <v>2726385.7315352801</v>
      </c>
      <c r="Q24" s="1077"/>
    </row>
    <row r="25" spans="1:17" ht="31.5" customHeight="1" x14ac:dyDescent="0.25">
      <c r="B25" s="124"/>
      <c r="C25" s="211"/>
      <c r="D25" s="212" t="s">
        <v>170</v>
      </c>
      <c r="E25" s="213" t="str">
        <f>'Insumos e serviços'!C170</f>
        <v xml:space="preserve">Marrãs </v>
      </c>
      <c r="F25" s="211"/>
      <c r="G25" s="211"/>
      <c r="H25" s="211"/>
      <c r="I25" s="211"/>
      <c r="J25" s="211"/>
      <c r="K25" s="211"/>
      <c r="L25" s="1010"/>
      <c r="M25" s="1016"/>
      <c r="N25" s="1010"/>
      <c r="O25" s="1016"/>
      <c r="P25" s="1010"/>
      <c r="Q25" s="1011"/>
    </row>
    <row r="26" spans="1:17" x14ac:dyDescent="0.25">
      <c r="B26" s="214"/>
      <c r="C26" s="211"/>
      <c r="D26" s="211" t="s">
        <v>172</v>
      </c>
      <c r="E26" s="211" t="str">
        <f>'Insumos e serviços'!C171</f>
        <v>Pré-lactação (110 aos 114d)</v>
      </c>
      <c r="F26" s="211"/>
      <c r="G26" s="211"/>
      <c r="H26" s="211"/>
      <c r="I26" s="211"/>
      <c r="J26" s="211"/>
      <c r="K26" s="211"/>
      <c r="L26" s="1010">
        <f>'Insumos e serviços'!F171*'Insumos e serviços'!I171</f>
        <v>409.50575342465754</v>
      </c>
      <c r="M26" s="1016"/>
      <c r="N26" s="1010">
        <f>L26*4.345</f>
        <v>1779.3024986301368</v>
      </c>
      <c r="O26" s="1016"/>
      <c r="P26" s="1010">
        <f>N26*12</f>
        <v>21351.629983561641</v>
      </c>
      <c r="Q26" s="1011"/>
    </row>
    <row r="27" spans="1:17" x14ac:dyDescent="0.25">
      <c r="B27" s="214"/>
      <c r="C27" s="211"/>
      <c r="D27" s="211" t="s">
        <v>173</v>
      </c>
      <c r="E27" s="211" t="str">
        <f>'Insumos e serviços'!C172</f>
        <v>Lactação (115 aos 139d)</v>
      </c>
      <c r="F27" s="211"/>
      <c r="G27" s="211"/>
      <c r="H27" s="211"/>
      <c r="I27" s="211"/>
      <c r="J27" s="211"/>
      <c r="K27" s="211"/>
      <c r="L27" s="1010">
        <f>'Insumos e serviços'!F172*'Insumos e serviços'!I172</f>
        <v>5733.0805479452056</v>
      </c>
      <c r="M27" s="1016"/>
      <c r="N27" s="1010">
        <f>L27*4.345</f>
        <v>24910.234980821915</v>
      </c>
      <c r="O27" s="1016"/>
      <c r="P27" s="1010">
        <f>N27*12</f>
        <v>298922.81976986298</v>
      </c>
      <c r="Q27" s="1011"/>
    </row>
    <row r="28" spans="1:17" x14ac:dyDescent="0.25">
      <c r="B28" s="214"/>
      <c r="C28" s="211"/>
      <c r="D28" s="212" t="s">
        <v>171</v>
      </c>
      <c r="E28" s="213" t="str">
        <f>'Insumos e serviços'!C173</f>
        <v>Matrizes</v>
      </c>
      <c r="F28" s="211"/>
      <c r="G28" s="211"/>
      <c r="H28" s="211"/>
      <c r="I28" s="211"/>
      <c r="J28" s="211"/>
      <c r="K28" s="211"/>
      <c r="L28" s="1010"/>
      <c r="M28" s="1016"/>
      <c r="N28" s="1010"/>
      <c r="O28" s="1016"/>
      <c r="P28" s="1010"/>
      <c r="Q28" s="1011"/>
    </row>
    <row r="29" spans="1:17" x14ac:dyDescent="0.25">
      <c r="B29" s="214"/>
      <c r="C29" s="211"/>
      <c r="D29" s="211" t="s">
        <v>175</v>
      </c>
      <c r="E29" s="211" t="str">
        <f>'Insumos e serviços'!C174</f>
        <v>Pré-lactação (110 aos 114d)</v>
      </c>
      <c r="F29" s="211"/>
      <c r="G29" s="211"/>
      <c r="H29" s="211"/>
      <c r="I29" s="211"/>
      <c r="J29" s="211"/>
      <c r="K29" s="211"/>
      <c r="L29" s="1010">
        <f>'Insumos e serviços'!F174*'Insumos e serviços'!I174</f>
        <v>2373.7465815861433</v>
      </c>
      <c r="M29" s="1016"/>
      <c r="N29" s="1010">
        <f>L29*4.345</f>
        <v>10313.928896991792</v>
      </c>
      <c r="O29" s="1016"/>
      <c r="P29" s="1010">
        <f>N29*12</f>
        <v>123767.14676390152</v>
      </c>
      <c r="Q29" s="1011"/>
    </row>
    <row r="30" spans="1:17" x14ac:dyDescent="0.25">
      <c r="B30" s="214"/>
      <c r="C30" s="211"/>
      <c r="D30" s="211" t="s">
        <v>176</v>
      </c>
      <c r="E30" s="211" t="str">
        <f>'Insumos e serviços'!C175</f>
        <v>Lactação (115 aos 138d)</v>
      </c>
      <c r="F30" s="211"/>
      <c r="G30" s="211"/>
      <c r="H30" s="211"/>
      <c r="I30" s="211"/>
      <c r="J30" s="211"/>
      <c r="K30" s="211"/>
      <c r="L30" s="1010">
        <f>'Insumos e serviços'!F175*'Insumos e serviços'!I175</f>
        <v>33232.452142206006</v>
      </c>
      <c r="M30" s="1016"/>
      <c r="N30" s="1010">
        <f>L30*4.345</f>
        <v>144395.00455788508</v>
      </c>
      <c r="O30" s="1016"/>
      <c r="P30" s="1010">
        <f>N30*12</f>
        <v>1732740.0546946209</v>
      </c>
      <c r="Q30" s="1011"/>
    </row>
    <row r="31" spans="1:17" x14ac:dyDescent="0.25">
      <c r="B31" s="214"/>
      <c r="C31" s="211"/>
      <c r="D31" s="211" t="s">
        <v>177</v>
      </c>
      <c r="E31" s="211" t="str">
        <f>'Insumos e serviços'!C176</f>
        <v>Dias não produtivos</v>
      </c>
      <c r="F31" s="211"/>
      <c r="G31" s="211"/>
      <c r="H31" s="211"/>
      <c r="I31" s="211"/>
      <c r="J31" s="211"/>
      <c r="K31" s="211"/>
      <c r="L31" s="1010">
        <f>'Insumos e serviços'!F176*'Insumos e serviços'!I176</f>
        <v>12211.488830896242</v>
      </c>
      <c r="M31" s="1016"/>
      <c r="N31" s="1010">
        <f>L31*4.345</f>
        <v>53058.918970244165</v>
      </c>
      <c r="O31" s="1016"/>
      <c r="P31" s="1010">
        <f>N31*12</f>
        <v>636707.02764292993</v>
      </c>
      <c r="Q31" s="1011"/>
    </row>
    <row r="32" spans="1:17" x14ac:dyDescent="0.25">
      <c r="B32" s="214"/>
      <c r="C32" s="211"/>
      <c r="D32" s="211" t="s">
        <v>178</v>
      </c>
      <c r="E32" s="211" t="str">
        <f>'Insumos e serviços'!C177</f>
        <v xml:space="preserve">Intervalo desmama-estro </v>
      </c>
      <c r="F32" s="211"/>
      <c r="G32" s="211"/>
      <c r="H32" s="211"/>
      <c r="I32" s="211"/>
      <c r="J32" s="211"/>
      <c r="K32" s="211"/>
      <c r="L32" s="1010">
        <f>'Insumos e serviços'!F177*'Insumos e serviços'!I177</f>
        <v>2998.6896080218771</v>
      </c>
      <c r="M32" s="1016"/>
      <c r="N32" s="1010">
        <f>L32*4.345</f>
        <v>13029.306346855055</v>
      </c>
      <c r="O32" s="1016"/>
      <c r="P32" s="1010">
        <f>N32*12</f>
        <v>156351.67616226067</v>
      </c>
      <c r="Q32" s="1011"/>
    </row>
    <row r="33" spans="2:17" x14ac:dyDescent="0.25">
      <c r="B33" s="214"/>
      <c r="C33" s="211"/>
      <c r="D33" s="212" t="s">
        <v>174</v>
      </c>
      <c r="E33" s="213" t="str">
        <f>'Insumos e serviços'!C178</f>
        <v>Leitões</v>
      </c>
      <c r="F33" s="211"/>
      <c r="G33" s="211"/>
      <c r="H33" s="211"/>
      <c r="I33" s="211"/>
      <c r="J33" s="211"/>
      <c r="K33" s="211"/>
      <c r="L33" s="1010"/>
      <c r="M33" s="1016"/>
      <c r="N33" s="1010"/>
      <c r="O33" s="1016"/>
      <c r="P33" s="1010"/>
      <c r="Q33" s="1011"/>
    </row>
    <row r="34" spans="2:17" x14ac:dyDescent="0.25">
      <c r="B34" s="214"/>
      <c r="C34" s="211"/>
      <c r="D34" s="211" t="s">
        <v>181</v>
      </c>
      <c r="E34" s="211" t="str">
        <f>'Insumos e serviços'!C179</f>
        <v>Ração leitões (até 11d)</v>
      </c>
      <c r="F34" s="211"/>
      <c r="G34" s="211"/>
      <c r="H34" s="211"/>
      <c r="I34" s="211"/>
      <c r="J34" s="211"/>
      <c r="K34" s="211"/>
      <c r="L34" s="1010">
        <f>'Insumos e serviços'!F179*'Insumos e serviços'!I179</f>
        <v>1515.7755203980132</v>
      </c>
      <c r="M34" s="1016"/>
      <c r="N34" s="1010">
        <f>L34*4.345</f>
        <v>6586.0446361293671</v>
      </c>
      <c r="O34" s="1016"/>
      <c r="P34" s="1010">
        <f>N34*12</f>
        <v>79032.535633552412</v>
      </c>
      <c r="Q34" s="1011"/>
    </row>
    <row r="35" spans="2:17" x14ac:dyDescent="0.25">
      <c r="B35" s="214"/>
      <c r="C35" s="211"/>
      <c r="D35" s="211" t="s">
        <v>182</v>
      </c>
      <c r="E35" s="211" t="str">
        <f>'Insumos e serviços'!C180</f>
        <v>Ração leitões (11 a 24d)</v>
      </c>
      <c r="F35" s="211"/>
      <c r="G35" s="211"/>
      <c r="H35" s="211"/>
      <c r="I35" s="211"/>
      <c r="J35" s="211"/>
      <c r="K35" s="211"/>
      <c r="L35" s="1010">
        <f>'Insumos e serviços'!F180*'Insumos e serviços'!I180</f>
        <v>3434.8950782409624</v>
      </c>
      <c r="M35" s="1016"/>
      <c r="N35" s="1010">
        <f>L35*4.345</f>
        <v>14924.61911495698</v>
      </c>
      <c r="O35" s="1016"/>
      <c r="P35" s="1010">
        <f>N35*12</f>
        <v>179095.42937948377</v>
      </c>
      <c r="Q35" s="1011"/>
    </row>
    <row r="36" spans="2:17" ht="51.75" customHeight="1" x14ac:dyDescent="0.25">
      <c r="B36" s="1038" t="s">
        <v>183</v>
      </c>
      <c r="C36" s="1039"/>
      <c r="D36" s="1039"/>
      <c r="E36" s="1039"/>
      <c r="F36" s="1039"/>
      <c r="G36" s="1039"/>
      <c r="H36" s="1039"/>
      <c r="I36" s="1039"/>
      <c r="J36" s="1039"/>
      <c r="K36" s="1039"/>
      <c r="L36" s="998">
        <f>SUM(L26,L27,L29,L30,L31,L32,L34,L35)</f>
        <v>61909.634062719102</v>
      </c>
      <c r="M36" s="999"/>
      <c r="N36" s="998">
        <f>SUM(N26,N27,N29,N30,N31,N32,N34,N35)</f>
        <v>268997.3600025145</v>
      </c>
      <c r="O36" s="999"/>
      <c r="P36" s="998">
        <f>SUM(P26,P27,P29,P30,P31,P32,P34,P35)</f>
        <v>3227968.3200301738</v>
      </c>
      <c r="Q36" s="1027"/>
    </row>
    <row r="37" spans="2:17" x14ac:dyDescent="0.25">
      <c r="B37" s="215"/>
      <c r="C37" s="216"/>
      <c r="D37" s="217" t="s">
        <v>179</v>
      </c>
      <c r="E37" s="218" t="str">
        <f>'Insumos e serviços'!C234</f>
        <v>Leitões</v>
      </c>
      <c r="F37" s="216"/>
      <c r="G37" s="216"/>
      <c r="H37" s="216"/>
      <c r="I37" s="216"/>
      <c r="J37" s="216"/>
      <c r="K37" s="216"/>
      <c r="L37" s="1007"/>
      <c r="M37" s="1018"/>
      <c r="N37" s="1007"/>
      <c r="O37" s="1018"/>
      <c r="P37" s="1007"/>
      <c r="Q37" s="1008"/>
    </row>
    <row r="38" spans="2:17" x14ac:dyDescent="0.25">
      <c r="B38" s="215"/>
      <c r="C38" s="216"/>
      <c r="D38" s="216" t="s">
        <v>184</v>
      </c>
      <c r="E38" s="216" t="str">
        <f>'Insumos e serviços'!C235</f>
        <v>Pré-inicial I (24d - 30d)</v>
      </c>
      <c r="F38" s="216"/>
      <c r="G38" s="216"/>
      <c r="H38" s="216"/>
      <c r="I38" s="216"/>
      <c r="J38" s="216"/>
      <c r="K38" s="216"/>
      <c r="L38" s="1007">
        <f>'Insumos e serviços'!F235*'Insumos e serviços'!I235</f>
        <v>4416.2936720240941</v>
      </c>
      <c r="M38" s="1018"/>
      <c r="N38" s="1007">
        <f>L38*4.345</f>
        <v>19188.796004944688</v>
      </c>
      <c r="O38" s="1018"/>
      <c r="P38" s="1007">
        <f>N38*12</f>
        <v>230265.55205933627</v>
      </c>
      <c r="Q38" s="1008"/>
    </row>
    <row r="39" spans="2:17" x14ac:dyDescent="0.25">
      <c r="B39" s="142"/>
      <c r="C39" s="216"/>
      <c r="D39" s="216" t="s">
        <v>185</v>
      </c>
      <c r="E39" s="216" t="str">
        <f>'Insumos e serviços'!C236</f>
        <v>Pré-inicial II (32d - 38d)</v>
      </c>
      <c r="F39" s="216"/>
      <c r="G39" s="216"/>
      <c r="H39" s="216"/>
      <c r="I39" s="216"/>
      <c r="J39" s="216"/>
      <c r="K39" s="216"/>
      <c r="L39" s="1007">
        <f>'Insumos e serviços'!F236*'Insumos e serviços'!I236</f>
        <v>8329.6205647343322</v>
      </c>
      <c r="M39" s="1018"/>
      <c r="N39" s="1007">
        <f>L39*4.345</f>
        <v>36192.201353770673</v>
      </c>
      <c r="O39" s="1018"/>
      <c r="P39" s="1007">
        <f>N39*12</f>
        <v>434306.41624524805</v>
      </c>
      <c r="Q39" s="1008"/>
    </row>
    <row r="40" spans="2:17" x14ac:dyDescent="0.25">
      <c r="B40" s="215"/>
      <c r="C40" s="216"/>
      <c r="D40" s="216" t="s">
        <v>186</v>
      </c>
      <c r="E40" s="216" t="str">
        <f>'Insumos e serviços'!C237</f>
        <v>Inicial I - (39d - 46d)</v>
      </c>
      <c r="F40" s="216"/>
      <c r="G40" s="216"/>
      <c r="H40" s="216"/>
      <c r="I40" s="216"/>
      <c r="J40" s="216"/>
      <c r="K40" s="216"/>
      <c r="L40" s="1007">
        <f>'Insumos e serviços'!F237*'Insumos e serviços'!I237</f>
        <v>13865.554587780696</v>
      </c>
      <c r="M40" s="1018"/>
      <c r="N40" s="1007">
        <f>L40*4.345</f>
        <v>60245.834683907124</v>
      </c>
      <c r="O40" s="1018"/>
      <c r="P40" s="1007">
        <f>N40*12</f>
        <v>722950.01620688546</v>
      </c>
      <c r="Q40" s="1008"/>
    </row>
    <row r="41" spans="2:17" x14ac:dyDescent="0.25">
      <c r="B41" s="215"/>
      <c r="C41" s="216"/>
      <c r="D41" s="216" t="s">
        <v>187</v>
      </c>
      <c r="E41" s="216" t="str">
        <f>'Insumos e serviços'!C238</f>
        <v xml:space="preserve">Inicial II (47-65d) </v>
      </c>
      <c r="F41" s="216"/>
      <c r="G41" s="216"/>
      <c r="H41" s="216"/>
      <c r="I41" s="216"/>
      <c r="J41" s="216"/>
      <c r="K41" s="216"/>
      <c r="L41" s="1007">
        <f>'Insumos e serviços'!F238*'Insumos e serviços'!I238</f>
        <v>44055.626207529298</v>
      </c>
      <c r="M41" s="1018"/>
      <c r="N41" s="1007">
        <f>L41*4.345</f>
        <v>191421.69587171479</v>
      </c>
      <c r="O41" s="1018"/>
      <c r="P41" s="1007">
        <f>N41*12</f>
        <v>2297060.3504605778</v>
      </c>
      <c r="Q41" s="1008"/>
    </row>
    <row r="42" spans="2:17" ht="42.75" customHeight="1" x14ac:dyDescent="0.25">
      <c r="B42" s="1040" t="s">
        <v>192</v>
      </c>
      <c r="C42" s="1041"/>
      <c r="D42" s="1041"/>
      <c r="E42" s="1041"/>
      <c r="F42" s="1041"/>
      <c r="G42" s="1041"/>
      <c r="H42" s="1041"/>
      <c r="I42" s="1041"/>
      <c r="J42" s="1041"/>
      <c r="K42" s="1041"/>
      <c r="L42" s="1024">
        <f>SUM(L38,L39,L40,L41)</f>
        <v>70667.095032068421</v>
      </c>
      <c r="M42" s="1025"/>
      <c r="N42" s="1024">
        <f>SUM(N38,N39,N40,N41)</f>
        <v>307048.52791433729</v>
      </c>
      <c r="O42" s="1025"/>
      <c r="P42" s="1024">
        <f>SUM(P38,P39,P40,P41)</f>
        <v>3684582.3349720472</v>
      </c>
      <c r="Q42" s="1026"/>
    </row>
    <row r="43" spans="2:17" ht="31.5" customHeight="1" x14ac:dyDescent="0.25">
      <c r="B43" s="219"/>
      <c r="C43" s="220"/>
      <c r="D43" s="221" t="s">
        <v>180</v>
      </c>
      <c r="E43" s="222" t="str">
        <f>'Insumos e serviços'!C290</f>
        <v xml:space="preserve">Cevado </v>
      </c>
      <c r="F43" s="220"/>
      <c r="G43" s="220"/>
      <c r="H43" s="220"/>
      <c r="I43" s="220"/>
      <c r="J43" s="220"/>
      <c r="K43" s="220"/>
      <c r="L43" s="987"/>
      <c r="M43" s="1017"/>
      <c r="N43" s="987"/>
      <c r="O43" s="1017"/>
      <c r="P43" s="987"/>
      <c r="Q43" s="988"/>
    </row>
    <row r="44" spans="2:17" x14ac:dyDescent="0.25">
      <c r="B44" s="219"/>
      <c r="C44" s="220"/>
      <c r="D44" s="220" t="s">
        <v>188</v>
      </c>
      <c r="E44" s="220" t="str">
        <f>'Insumos e serviços'!C291</f>
        <v>Crescimento I (66d-90d)</v>
      </c>
      <c r="F44" s="220"/>
      <c r="G44" s="220"/>
      <c r="H44" s="220"/>
      <c r="I44" s="220"/>
      <c r="J44" s="220"/>
      <c r="K44" s="220"/>
      <c r="L44" s="987">
        <f>'Insumos e serviços'!F291*'Insumos e serviços'!I291</f>
        <v>78210.753092031839</v>
      </c>
      <c r="M44" s="1017"/>
      <c r="N44" s="987">
        <f>L44*4.345</f>
        <v>339825.72218487831</v>
      </c>
      <c r="O44" s="1017"/>
      <c r="P44" s="987">
        <f>N44*12</f>
        <v>4077908.6662185397</v>
      </c>
      <c r="Q44" s="988"/>
    </row>
    <row r="45" spans="2:17" x14ac:dyDescent="0.25">
      <c r="B45" s="219"/>
      <c r="C45" s="220"/>
      <c r="D45" s="220" t="s">
        <v>189</v>
      </c>
      <c r="E45" s="220" t="str">
        <f>'Insumos e serviços'!C292</f>
        <v>Crescimento II - (91d-110d)</v>
      </c>
      <c r="F45" s="220"/>
      <c r="G45" s="220"/>
      <c r="H45" s="220"/>
      <c r="I45" s="220"/>
      <c r="J45" s="220"/>
      <c r="K45" s="220"/>
      <c r="L45" s="987">
        <f>'Insumos e serviços'!F292*'Insumos e serviços'!I292</f>
        <v>82060.460160895193</v>
      </c>
      <c r="M45" s="1017"/>
      <c r="N45" s="987">
        <f>L45*4.345</f>
        <v>356552.69939908962</v>
      </c>
      <c r="O45" s="1017"/>
      <c r="P45" s="987">
        <f>N45*12</f>
        <v>4278632.3927890752</v>
      </c>
      <c r="Q45" s="988"/>
    </row>
    <row r="46" spans="2:17" x14ac:dyDescent="0.25">
      <c r="B46" s="161"/>
      <c r="C46" s="220"/>
      <c r="D46" s="220" t="s">
        <v>190</v>
      </c>
      <c r="E46" s="220" t="str">
        <f>'Insumos e serviços'!C293</f>
        <v>Terminação I (111d - 125d)</v>
      </c>
      <c r="F46" s="220"/>
      <c r="G46" s="220"/>
      <c r="H46" s="220"/>
      <c r="I46" s="220"/>
      <c r="J46" s="220"/>
      <c r="K46" s="220"/>
      <c r="L46" s="987">
        <f>'Insumos e serviços'!F293*'Insumos e serviços'!I293</f>
        <v>72956.467408782526</v>
      </c>
      <c r="M46" s="1017"/>
      <c r="N46" s="987">
        <f>L46*4.345</f>
        <v>316995.85089116008</v>
      </c>
      <c r="O46" s="1017"/>
      <c r="P46" s="987">
        <f>N46*12</f>
        <v>3803950.210693921</v>
      </c>
      <c r="Q46" s="988"/>
    </row>
    <row r="47" spans="2:17" x14ac:dyDescent="0.25">
      <c r="B47" s="219"/>
      <c r="C47" s="220"/>
      <c r="D47" s="220" t="s">
        <v>191</v>
      </c>
      <c r="E47" s="220" t="str">
        <f>'Insumos e serviços'!C294</f>
        <v>Acabamento (126 - 160d)</v>
      </c>
      <c r="F47" s="220"/>
      <c r="G47" s="220"/>
      <c r="H47" s="220"/>
      <c r="I47" s="220"/>
      <c r="J47" s="220"/>
      <c r="K47" s="220"/>
      <c r="L47" s="987">
        <f>'Insumos e serviços'!F294*'Insumos e serviços'!I294</f>
        <v>212615.99073416623</v>
      </c>
      <c r="M47" s="1017"/>
      <c r="N47" s="987">
        <f>L47*4.345</f>
        <v>923816.47973995225</v>
      </c>
      <c r="O47" s="1017"/>
      <c r="P47" s="987">
        <f>N47*12</f>
        <v>11085797.756879427</v>
      </c>
      <c r="Q47" s="988"/>
    </row>
    <row r="48" spans="2:17" ht="41.25" customHeight="1" x14ac:dyDescent="0.25">
      <c r="B48" s="1030" t="s">
        <v>193</v>
      </c>
      <c r="C48" s="1031"/>
      <c r="D48" s="1031"/>
      <c r="E48" s="1031"/>
      <c r="F48" s="1031"/>
      <c r="G48" s="1031"/>
      <c r="H48" s="1031"/>
      <c r="I48" s="1031"/>
      <c r="J48" s="1031"/>
      <c r="K48" s="1031"/>
      <c r="L48" s="1021">
        <f>SUM(L44,L45,L46,L47)</f>
        <v>445843.6713958758</v>
      </c>
      <c r="M48" s="1022"/>
      <c r="N48" s="1021">
        <f>SUM(N44,N45,N46,N47)</f>
        <v>1937190.7522150804</v>
      </c>
      <c r="O48" s="1022"/>
      <c r="P48" s="1021">
        <f>SUM(P44,P45,P46,P47)</f>
        <v>23246289.026580963</v>
      </c>
      <c r="Q48" s="1023"/>
    </row>
    <row r="49" spans="1:17" s="326" customFormat="1" ht="41.25" customHeight="1" x14ac:dyDescent="0.25">
      <c r="A49" s="325"/>
      <c r="B49" s="1028" t="s">
        <v>194</v>
      </c>
      <c r="C49" s="1029"/>
      <c r="D49" s="1029"/>
      <c r="E49" s="1029"/>
      <c r="F49" s="1029"/>
      <c r="G49" s="1029"/>
      <c r="H49" s="1029"/>
      <c r="I49" s="1029"/>
      <c r="J49" s="1029"/>
      <c r="K49" s="1029"/>
      <c r="L49" s="1043">
        <f>SUM(L10,L24,L36,L42,L48)</f>
        <v>637206.48927982408</v>
      </c>
      <c r="M49" s="1044"/>
      <c r="N49" s="1043">
        <f>SUM(N10,N24,N36,N42,N48)</f>
        <v>2768662.1959208357</v>
      </c>
      <c r="O49" s="1044"/>
      <c r="P49" s="1043">
        <f>SUM(P10,P24,P36,P42,P48)</f>
        <v>33223946.351050027</v>
      </c>
      <c r="Q49" s="1045"/>
    </row>
    <row r="50" spans="1:17" x14ac:dyDescent="0.25">
      <c r="B50" s="223"/>
      <c r="C50" s="224"/>
      <c r="D50" s="224"/>
      <c r="E50" s="224"/>
      <c r="F50" s="224"/>
      <c r="G50" s="224"/>
      <c r="H50" s="224"/>
      <c r="I50" s="224"/>
      <c r="J50" s="224"/>
      <c r="K50" s="224"/>
      <c r="L50" s="225"/>
      <c r="M50" s="226"/>
      <c r="N50" s="225"/>
      <c r="O50" s="226"/>
      <c r="P50" s="225"/>
      <c r="Q50" s="227"/>
    </row>
    <row r="51" spans="1:17" x14ac:dyDescent="0.25">
      <c r="B51" s="228"/>
      <c r="C51" s="202" t="s">
        <v>144</v>
      </c>
      <c r="D51" s="200"/>
      <c r="E51" s="200"/>
      <c r="F51" s="200"/>
      <c r="G51" s="200"/>
      <c r="H51" s="200"/>
      <c r="I51" s="200"/>
      <c r="J51" s="200"/>
      <c r="K51" s="229"/>
      <c r="L51" s="981"/>
      <c r="M51" s="982"/>
      <c r="N51" s="981"/>
      <c r="O51" s="982"/>
      <c r="P51" s="981"/>
      <c r="Q51" s="983"/>
    </row>
    <row r="52" spans="1:17" ht="31.5" customHeight="1" x14ac:dyDescent="0.25">
      <c r="B52" s="206"/>
      <c r="C52" s="204"/>
      <c r="D52" s="204" t="s">
        <v>140</v>
      </c>
      <c r="E52" s="205" t="str">
        <f>'Insumos e serviços'!D14</f>
        <v xml:space="preserve">Marrãs </v>
      </c>
      <c r="F52" s="203"/>
      <c r="G52" s="203"/>
      <c r="H52" s="203"/>
      <c r="I52" s="203"/>
      <c r="J52" s="203"/>
      <c r="K52" s="230"/>
      <c r="L52" s="1000"/>
      <c r="M52" s="1015"/>
      <c r="N52" s="1000"/>
      <c r="O52" s="1015"/>
      <c r="P52" s="1000"/>
      <c r="Q52" s="1001"/>
    </row>
    <row r="53" spans="1:17" x14ac:dyDescent="0.25">
      <c r="B53" s="206"/>
      <c r="C53" s="204"/>
      <c r="D53" s="204"/>
      <c r="E53" s="231" t="s">
        <v>148</v>
      </c>
      <c r="F53" s="203"/>
      <c r="G53" s="203"/>
      <c r="H53" s="203"/>
      <c r="I53" s="203"/>
      <c r="J53" s="203"/>
      <c r="K53" s="230"/>
      <c r="L53" s="1000"/>
      <c r="M53" s="1015"/>
      <c r="N53" s="1000"/>
      <c r="O53" s="1015"/>
      <c r="P53" s="1000"/>
      <c r="Q53" s="1001"/>
    </row>
    <row r="54" spans="1:17" x14ac:dyDescent="0.25">
      <c r="B54" s="206"/>
      <c r="C54" s="203"/>
      <c r="D54" s="203" t="s">
        <v>137</v>
      </c>
      <c r="E54" s="203" t="str">
        <f>'Insumos e serviços'!D15</f>
        <v>Parvovirose + Leptospirose + Erisipela</v>
      </c>
      <c r="F54" s="203"/>
      <c r="G54" s="203"/>
      <c r="H54" s="203"/>
      <c r="I54" s="203"/>
      <c r="J54" s="203"/>
      <c r="K54" s="230"/>
      <c r="L54" s="1000">
        <f>'Insumos e serviços'!F15*'Insumos e serviços'!H15</f>
        <v>86.55102246575342</v>
      </c>
      <c r="M54" s="1015"/>
      <c r="N54" s="1000">
        <f>L54*4.345</f>
        <v>376.06419261369859</v>
      </c>
      <c r="O54" s="1015"/>
      <c r="P54" s="1000">
        <f>N54*12</f>
        <v>4512.7703113643829</v>
      </c>
      <c r="Q54" s="1001"/>
    </row>
    <row r="55" spans="1:17" x14ac:dyDescent="0.25">
      <c r="B55" s="206"/>
      <c r="C55" s="203"/>
      <c r="D55" s="203" t="s">
        <v>138</v>
      </c>
      <c r="E55" s="203" t="str">
        <f>'Insumos e serviços'!D16</f>
        <v>Circovírus</v>
      </c>
      <c r="F55" s="203"/>
      <c r="G55" s="203"/>
      <c r="H55" s="203"/>
      <c r="I55" s="203"/>
      <c r="J55" s="203"/>
      <c r="K55" s="230"/>
      <c r="L55" s="1000">
        <f>'Insumos e serviços'!F16*'Insumos e serviços'!H16</f>
        <v>60.705925479452056</v>
      </c>
      <c r="M55" s="1015"/>
      <c r="N55" s="1000">
        <f>L55*4.345</f>
        <v>263.76724620821915</v>
      </c>
      <c r="O55" s="1015"/>
      <c r="P55" s="1000">
        <f>N55*12</f>
        <v>3165.2069544986298</v>
      </c>
      <c r="Q55" s="1001"/>
    </row>
    <row r="56" spans="1:17" x14ac:dyDescent="0.25">
      <c r="B56" s="206"/>
      <c r="C56" s="203"/>
      <c r="D56" s="203" t="s">
        <v>139</v>
      </c>
      <c r="E56" s="203" t="str">
        <f>'Insumos e serviços'!D17</f>
        <v xml:space="preserve">Autógena </v>
      </c>
      <c r="F56" s="203"/>
      <c r="G56" s="203"/>
      <c r="H56" s="203"/>
      <c r="I56" s="203"/>
      <c r="J56" s="203"/>
      <c r="K56" s="230"/>
      <c r="L56" s="1000">
        <f>'Insumos e serviços'!F17*'Insumos e serviços'!H17</f>
        <v>0</v>
      </c>
      <c r="M56" s="1015"/>
      <c r="N56" s="1000">
        <f>L56*4.345</f>
        <v>0</v>
      </c>
      <c r="O56" s="1015"/>
      <c r="P56" s="1000">
        <f>N56*12</f>
        <v>0</v>
      </c>
      <c r="Q56" s="1001"/>
    </row>
    <row r="57" spans="1:17" x14ac:dyDescent="0.25">
      <c r="B57" s="206"/>
      <c r="C57" s="203"/>
      <c r="D57" s="204"/>
      <c r="E57" s="231" t="s">
        <v>143</v>
      </c>
      <c r="F57" s="204"/>
      <c r="G57" s="203"/>
      <c r="H57" s="203"/>
      <c r="I57" s="203"/>
      <c r="J57" s="203"/>
      <c r="K57" s="230"/>
      <c r="L57" s="1000"/>
      <c r="M57" s="1015"/>
      <c r="N57" s="1000"/>
      <c r="O57" s="1015"/>
      <c r="P57" s="1000"/>
      <c r="Q57" s="1001"/>
    </row>
    <row r="58" spans="1:17" x14ac:dyDescent="0.25">
      <c r="B58" s="206"/>
      <c r="C58" s="203"/>
      <c r="D58" s="203" t="s">
        <v>149</v>
      </c>
      <c r="E58" s="203" t="str">
        <f>'Insumos e serviços'!D23</f>
        <v>Flumax</v>
      </c>
      <c r="F58" s="203"/>
      <c r="G58" s="203"/>
      <c r="H58" s="203"/>
      <c r="I58" s="203"/>
      <c r="J58" s="203"/>
      <c r="K58" s="230"/>
      <c r="L58" s="1000">
        <f>'Insumos e serviços'!F23*'Insumos e serviços'!H23</f>
        <v>90.908626027397261</v>
      </c>
      <c r="M58" s="1015"/>
      <c r="N58" s="1000">
        <f>L58*4.345</f>
        <v>394.99798008904105</v>
      </c>
      <c r="O58" s="1015"/>
      <c r="P58" s="1000">
        <f>N58*12</f>
        <v>4739.9757610684928</v>
      </c>
      <c r="Q58" s="1001"/>
    </row>
    <row r="59" spans="1:17" x14ac:dyDescent="0.25">
      <c r="B59" s="206"/>
      <c r="C59" s="203"/>
      <c r="D59" s="203" t="s">
        <v>150</v>
      </c>
      <c r="E59" s="203" t="str">
        <f>'Insumos e serviços'!D24</f>
        <v>Medicamento 2</v>
      </c>
      <c r="F59" s="203"/>
      <c r="G59" s="203"/>
      <c r="H59" s="203"/>
      <c r="I59" s="203"/>
      <c r="J59" s="203"/>
      <c r="K59" s="230"/>
      <c r="L59" s="1000">
        <f>'Insumos e serviços'!F24*'Insumos e serviços'!H24</f>
        <v>0</v>
      </c>
      <c r="M59" s="1015"/>
      <c r="N59" s="1000">
        <f>L59*4.345</f>
        <v>0</v>
      </c>
      <c r="O59" s="1015"/>
      <c r="P59" s="1000">
        <f>N59*12</f>
        <v>0</v>
      </c>
      <c r="Q59" s="1001"/>
    </row>
    <row r="60" spans="1:17" x14ac:dyDescent="0.25">
      <c r="B60" s="206"/>
      <c r="C60" s="203"/>
      <c r="D60" s="203" t="s">
        <v>151</v>
      </c>
      <c r="E60" s="203" t="str">
        <f>'Insumos e serviços'!D25</f>
        <v>Medicamento 3</v>
      </c>
      <c r="F60" s="203"/>
      <c r="G60" s="203"/>
      <c r="H60" s="203"/>
      <c r="I60" s="203"/>
      <c r="J60" s="203"/>
      <c r="K60" s="230"/>
      <c r="L60" s="1000">
        <f>'Insumos e serviços'!F25*'Insumos e serviços'!H25</f>
        <v>0</v>
      </c>
      <c r="M60" s="1015"/>
      <c r="N60" s="1000">
        <f>L60*4.345</f>
        <v>0</v>
      </c>
      <c r="O60" s="1015"/>
      <c r="P60" s="1000">
        <f>N60*12</f>
        <v>0</v>
      </c>
      <c r="Q60" s="1001"/>
    </row>
    <row r="61" spans="1:17" ht="49.5" customHeight="1" x14ac:dyDescent="0.25">
      <c r="B61" s="1034" t="s">
        <v>141</v>
      </c>
      <c r="C61" s="1035"/>
      <c r="D61" s="1035"/>
      <c r="E61" s="1035"/>
      <c r="F61" s="1035"/>
      <c r="G61" s="1035"/>
      <c r="H61" s="1035"/>
      <c r="I61" s="1035"/>
      <c r="J61" s="1035"/>
      <c r="K61" s="1035"/>
      <c r="L61" s="992">
        <f>SUM(L54,L55,L56,L58,L59,L60)</f>
        <v>238.16557397260272</v>
      </c>
      <c r="M61" s="993"/>
      <c r="N61" s="992">
        <f>SUM(N54,N55,N56,N58,N59,N60)</f>
        <v>1034.8294189109588</v>
      </c>
      <c r="O61" s="993"/>
      <c r="P61" s="992">
        <f>SUM(P54,P55,P56,P58,P59,P60)</f>
        <v>12417.953026931506</v>
      </c>
      <c r="Q61" s="994"/>
    </row>
    <row r="62" spans="1:17" x14ac:dyDescent="0.25">
      <c r="B62" s="210"/>
      <c r="C62" s="207"/>
      <c r="D62" s="208" t="s">
        <v>142</v>
      </c>
      <c r="E62" s="209" t="str">
        <f>'Insumos e serviços'!D76</f>
        <v xml:space="preserve">Marrãs </v>
      </c>
      <c r="F62" s="207"/>
      <c r="G62" s="207"/>
      <c r="H62" s="207"/>
      <c r="I62" s="207"/>
      <c r="J62" s="207"/>
      <c r="K62" s="232"/>
      <c r="L62" s="984"/>
      <c r="M62" s="985"/>
      <c r="N62" s="984"/>
      <c r="O62" s="985"/>
      <c r="P62" s="984"/>
      <c r="Q62" s="986"/>
    </row>
    <row r="63" spans="1:17" x14ac:dyDescent="0.25">
      <c r="B63" s="210"/>
      <c r="C63" s="207"/>
      <c r="D63" s="207"/>
      <c r="E63" s="233" t="s">
        <v>148</v>
      </c>
      <c r="F63" s="207"/>
      <c r="G63" s="207"/>
      <c r="H63" s="207"/>
      <c r="I63" s="207"/>
      <c r="J63" s="207"/>
      <c r="K63" s="232"/>
      <c r="L63" s="984"/>
      <c r="M63" s="985"/>
      <c r="N63" s="984"/>
      <c r="O63" s="985"/>
      <c r="P63" s="984"/>
      <c r="Q63" s="986"/>
    </row>
    <row r="64" spans="1:17" x14ac:dyDescent="0.25">
      <c r="B64" s="210"/>
      <c r="C64" s="207"/>
      <c r="D64" s="207" t="s">
        <v>145</v>
      </c>
      <c r="E64" s="207" t="str">
        <f>'Insumos e serviços'!D77</f>
        <v>Rinite atrófica</v>
      </c>
      <c r="F64" s="207"/>
      <c r="G64" s="207"/>
      <c r="H64" s="207"/>
      <c r="I64" s="207"/>
      <c r="J64" s="207"/>
      <c r="K64" s="207"/>
      <c r="L64" s="984">
        <f>'Insumos e serviços'!F77*'Insumos e serviços'!H77</f>
        <v>143.65065534246577</v>
      </c>
      <c r="M64" s="985"/>
      <c r="N64" s="984">
        <f>L64*4.345</f>
        <v>624.16209746301377</v>
      </c>
      <c r="O64" s="985"/>
      <c r="P64" s="984">
        <f>N64*12</f>
        <v>7489.9451695561656</v>
      </c>
      <c r="Q64" s="986"/>
    </row>
    <row r="65" spans="2:17" x14ac:dyDescent="0.25">
      <c r="B65" s="210"/>
      <c r="C65" s="207"/>
      <c r="D65" s="207" t="s">
        <v>146</v>
      </c>
      <c r="E65" s="207" t="str">
        <f>'Insumos e serviços'!D78</f>
        <v>Rotavírus + Colibacilose + Enterotoxemia</v>
      </c>
      <c r="F65" s="207"/>
      <c r="G65" s="207"/>
      <c r="H65" s="207"/>
      <c r="I65" s="207"/>
      <c r="J65" s="207"/>
      <c r="K65" s="207"/>
      <c r="L65" s="984">
        <f>'Insumos e serviços'!F78*'Insumos e serviços'!H78</f>
        <v>158.3763501369863</v>
      </c>
      <c r="M65" s="985"/>
      <c r="N65" s="984">
        <f>L65*4.345</f>
        <v>688.14524134520548</v>
      </c>
      <c r="O65" s="985"/>
      <c r="P65" s="984">
        <f>N65*12</f>
        <v>8257.7428961424666</v>
      </c>
      <c r="Q65" s="986"/>
    </row>
    <row r="66" spans="2:17" x14ac:dyDescent="0.25">
      <c r="B66" s="210"/>
      <c r="C66" s="207"/>
      <c r="D66" s="207" t="s">
        <v>147</v>
      </c>
      <c r="E66" s="207" t="str">
        <f>'Insumos e serviços'!D79</f>
        <v>Pneumonia Enzoótica</v>
      </c>
      <c r="F66" s="207"/>
      <c r="G66" s="207"/>
      <c r="H66" s="207"/>
      <c r="I66" s="207"/>
      <c r="J66" s="207"/>
      <c r="K66" s="207"/>
      <c r="L66" s="984">
        <f>'Insumos e serviços'!F79*'Insumos e serviços'!H79</f>
        <v>39.068169863013701</v>
      </c>
      <c r="M66" s="985"/>
      <c r="N66" s="984">
        <f>L66*4.345</f>
        <v>169.75119805479451</v>
      </c>
      <c r="O66" s="985"/>
      <c r="P66" s="984">
        <f>N66*12</f>
        <v>2037.0143766575343</v>
      </c>
      <c r="Q66" s="986"/>
    </row>
    <row r="67" spans="2:17" x14ac:dyDescent="0.25">
      <c r="B67" s="210"/>
      <c r="C67" s="207"/>
      <c r="D67" s="207" t="s">
        <v>879</v>
      </c>
      <c r="E67" s="207" t="str">
        <f>'Insumos e serviços'!D80</f>
        <v xml:space="preserve">Vacina </v>
      </c>
      <c r="F67" s="207"/>
      <c r="G67" s="207"/>
      <c r="H67" s="207"/>
      <c r="I67" s="207"/>
      <c r="J67" s="207"/>
      <c r="K67" s="207"/>
      <c r="L67" s="342"/>
      <c r="M67" s="343"/>
      <c r="N67" s="342"/>
      <c r="O67" s="343"/>
      <c r="P67" s="342"/>
      <c r="Q67" s="344"/>
    </row>
    <row r="68" spans="2:17" x14ac:dyDescent="0.25">
      <c r="B68" s="210"/>
      <c r="C68" s="207"/>
      <c r="D68" s="208" t="s">
        <v>195</v>
      </c>
      <c r="E68" s="209" t="str">
        <f>'Insumos e serviços'!D81</f>
        <v>Porcas</v>
      </c>
      <c r="F68" s="207"/>
      <c r="G68" s="207"/>
      <c r="H68" s="207"/>
      <c r="I68" s="207"/>
      <c r="J68" s="207"/>
      <c r="K68" s="207"/>
      <c r="L68" s="984"/>
      <c r="M68" s="985"/>
      <c r="N68" s="984"/>
      <c r="O68" s="985"/>
      <c r="P68" s="984"/>
      <c r="Q68" s="986"/>
    </row>
    <row r="69" spans="2:17" x14ac:dyDescent="0.25">
      <c r="B69" s="210"/>
      <c r="C69" s="207"/>
      <c r="D69" s="207" t="s">
        <v>198</v>
      </c>
      <c r="E69" s="207" t="str">
        <f>'Insumos e serviços'!D82</f>
        <v xml:space="preserve">Rinite atrófica </v>
      </c>
      <c r="F69" s="207"/>
      <c r="G69" s="207"/>
      <c r="H69" s="207"/>
      <c r="I69" s="207"/>
      <c r="J69" s="207"/>
      <c r="K69" s="207"/>
      <c r="L69" s="984">
        <f>'Insumos e serviços'!F82*'Insumos e serviços'!H82</f>
        <v>689.03667373684129</v>
      </c>
      <c r="M69" s="985"/>
      <c r="N69" s="984">
        <f>L69*4.345</f>
        <v>2993.8643473865754</v>
      </c>
      <c r="O69" s="985"/>
      <c r="P69" s="984">
        <f>N69*12</f>
        <v>35926.372168638904</v>
      </c>
      <c r="Q69" s="986"/>
    </row>
    <row r="70" spans="2:17" x14ac:dyDescent="0.25">
      <c r="B70" s="210"/>
      <c r="C70" s="207"/>
      <c r="D70" s="207" t="s">
        <v>199</v>
      </c>
      <c r="E70" s="207" t="str">
        <f>'Insumos e serviços'!D83</f>
        <v>Rotavírus + Colibacilose + Enterotoxemia</v>
      </c>
      <c r="F70" s="207"/>
      <c r="G70" s="207"/>
      <c r="H70" s="207"/>
      <c r="I70" s="207"/>
      <c r="J70" s="207"/>
      <c r="K70" s="207"/>
      <c r="L70" s="984">
        <f>'Insumos e serviços'!F83*'Insumos e serviços'!H83</f>
        <v>379.83507014572729</v>
      </c>
      <c r="M70" s="985"/>
      <c r="N70" s="984">
        <f>L70*4.345</f>
        <v>1650.3833797831849</v>
      </c>
      <c r="O70" s="985"/>
      <c r="P70" s="984">
        <f>N70*12</f>
        <v>19804.600557398218</v>
      </c>
      <c r="Q70" s="986"/>
    </row>
    <row r="71" spans="2:17" x14ac:dyDescent="0.25">
      <c r="B71" s="210"/>
      <c r="C71" s="207"/>
      <c r="D71" s="207" t="s">
        <v>200</v>
      </c>
      <c r="E71" s="207" t="str">
        <f>'Insumos e serviços'!D84</f>
        <v>Parvovirose +Leptospirose +Erisipela</v>
      </c>
      <c r="F71" s="207"/>
      <c r="G71" s="207"/>
      <c r="H71" s="207"/>
      <c r="I71" s="207"/>
      <c r="J71" s="207"/>
      <c r="K71" s="207"/>
      <c r="L71" s="984">
        <f>'Insumos e serviços'!F84*'Insumos e serviços'!H84</f>
        <v>415.15180342303404</v>
      </c>
      <c r="M71" s="985"/>
      <c r="N71" s="984">
        <f>L71*4.345</f>
        <v>1803.8345858730827</v>
      </c>
      <c r="O71" s="985"/>
      <c r="P71" s="984">
        <f>N71*12</f>
        <v>21646.015030476992</v>
      </c>
      <c r="Q71" s="986"/>
    </row>
    <row r="72" spans="2:17" x14ac:dyDescent="0.25">
      <c r="B72" s="210"/>
      <c r="C72" s="207"/>
      <c r="D72" s="207" t="s">
        <v>876</v>
      </c>
      <c r="E72" s="207" t="str">
        <f>'Insumos e serviços'!D85</f>
        <v>Pneumonia Enzoótica</v>
      </c>
      <c r="F72" s="207"/>
      <c r="G72" s="207"/>
      <c r="H72" s="207"/>
      <c r="I72" s="207"/>
      <c r="J72" s="207"/>
      <c r="K72" s="207"/>
      <c r="L72" s="984">
        <f>'Insumos e serviços'!F85*'Insumos e serviços'!H85</f>
        <v>187.39491126734177</v>
      </c>
      <c r="M72" s="985"/>
      <c r="N72" s="984">
        <f>L72*4.345</f>
        <v>814.23088945659993</v>
      </c>
      <c r="O72" s="985"/>
      <c r="P72" s="984">
        <f>N72*12</f>
        <v>9770.7706734791991</v>
      </c>
      <c r="Q72" s="986"/>
    </row>
    <row r="73" spans="2:17" x14ac:dyDescent="0.25">
      <c r="B73" s="210"/>
      <c r="C73" s="207"/>
      <c r="D73" s="207" t="s">
        <v>878</v>
      </c>
      <c r="E73" s="207" t="str">
        <f>'Insumos e serviços'!D86</f>
        <v>Circovírus</v>
      </c>
      <c r="F73" s="207"/>
      <c r="G73" s="207"/>
      <c r="H73" s="207"/>
      <c r="I73" s="207"/>
      <c r="J73" s="207"/>
      <c r="K73" s="207"/>
      <c r="L73" s="984">
        <f>'Insumos e serviços'!F86*'Insumos e serviços'!H86</f>
        <v>291.18286212310028</v>
      </c>
      <c r="M73" s="985"/>
      <c r="N73" s="984">
        <f>L73*4.345</f>
        <v>1265.1895359248706</v>
      </c>
      <c r="O73" s="985"/>
      <c r="P73" s="984">
        <f>N73*12</f>
        <v>15182.274431098447</v>
      </c>
      <c r="Q73" s="986"/>
    </row>
    <row r="74" spans="2:17" x14ac:dyDescent="0.25">
      <c r="B74" s="210"/>
      <c r="C74" s="207"/>
      <c r="D74" s="207" t="s">
        <v>880</v>
      </c>
      <c r="E74" s="207" t="str">
        <f>'Insumos e serviços'!D87</f>
        <v xml:space="preserve">Vacina </v>
      </c>
      <c r="F74" s="207"/>
      <c r="G74" s="207"/>
      <c r="H74" s="207"/>
      <c r="I74" s="207"/>
      <c r="J74" s="207"/>
      <c r="K74" s="207"/>
      <c r="L74" s="342"/>
      <c r="M74" s="343"/>
      <c r="N74" s="342"/>
      <c r="O74" s="343"/>
      <c r="P74" s="342"/>
      <c r="Q74" s="344"/>
    </row>
    <row r="75" spans="2:17" x14ac:dyDescent="0.25">
      <c r="B75" s="210"/>
      <c r="C75" s="207"/>
      <c r="D75" s="208" t="s">
        <v>196</v>
      </c>
      <c r="E75" s="209" t="str">
        <f>'Insumos e serviços'!D88</f>
        <v>Cachaços</v>
      </c>
      <c r="F75" s="207"/>
      <c r="G75" s="207"/>
      <c r="H75" s="207"/>
      <c r="I75" s="207"/>
      <c r="J75" s="207"/>
      <c r="K75" s="207"/>
      <c r="L75" s="984"/>
      <c r="M75" s="985"/>
      <c r="N75" s="984"/>
      <c r="O75" s="985"/>
      <c r="P75" s="984"/>
      <c r="Q75" s="986"/>
    </row>
    <row r="76" spans="2:17" x14ac:dyDescent="0.25">
      <c r="B76" s="210"/>
      <c r="C76" s="207"/>
      <c r="D76" s="207" t="s">
        <v>201</v>
      </c>
      <c r="E76" s="207" t="str">
        <f>'Insumos e serviços'!D89</f>
        <v>Pneumonia Enzoótica</v>
      </c>
      <c r="F76" s="207"/>
      <c r="G76" s="207"/>
      <c r="H76" s="207"/>
      <c r="I76" s="207"/>
      <c r="J76" s="207"/>
      <c r="K76" s="207"/>
      <c r="L76" s="984">
        <f>'Insumos e serviços'!F89*'Insumos e serviços'!H89</f>
        <v>1.1751050228310502</v>
      </c>
      <c r="M76" s="985"/>
      <c r="N76" s="984">
        <f>L76*4.345</f>
        <v>5.1058313242009126</v>
      </c>
      <c r="O76" s="985"/>
      <c r="P76" s="984">
        <f>N76*12</f>
        <v>61.269975890410947</v>
      </c>
      <c r="Q76" s="986"/>
    </row>
    <row r="77" spans="2:17" x14ac:dyDescent="0.25">
      <c r="B77" s="210"/>
      <c r="C77" s="207"/>
      <c r="D77" s="207" t="s">
        <v>731</v>
      </c>
      <c r="E77" s="207" t="str">
        <f>'Insumos e serviços'!D90</f>
        <v>Vacina</v>
      </c>
      <c r="F77" s="207"/>
      <c r="G77" s="207"/>
      <c r="H77" s="207"/>
      <c r="I77" s="207"/>
      <c r="J77" s="207"/>
      <c r="K77" s="207"/>
      <c r="L77" s="984">
        <f>'Insumos e serviços'!F90*'Insumos e serviços'!H90</f>
        <v>0</v>
      </c>
      <c r="M77" s="985"/>
      <c r="N77" s="984">
        <f>L77*4.345</f>
        <v>0</v>
      </c>
      <c r="O77" s="985"/>
      <c r="P77" s="984">
        <f>N77*12</f>
        <v>0</v>
      </c>
      <c r="Q77" s="986"/>
    </row>
    <row r="78" spans="2:17" x14ac:dyDescent="0.25">
      <c r="B78" s="210"/>
      <c r="C78" s="207"/>
      <c r="D78" s="208" t="s">
        <v>197</v>
      </c>
      <c r="E78" s="209" t="str">
        <f>'Insumos e serviços'!D91</f>
        <v>Rufiões</v>
      </c>
      <c r="F78" s="207"/>
      <c r="G78" s="207"/>
      <c r="H78" s="207"/>
      <c r="I78" s="207"/>
      <c r="J78" s="207"/>
      <c r="K78" s="207"/>
      <c r="L78" s="984"/>
      <c r="M78" s="985"/>
      <c r="N78" s="984"/>
      <c r="O78" s="985"/>
      <c r="P78" s="984"/>
      <c r="Q78" s="986"/>
    </row>
    <row r="79" spans="2:17" x14ac:dyDescent="0.25">
      <c r="B79" s="210"/>
      <c r="C79" s="207"/>
      <c r="D79" s="207" t="s">
        <v>202</v>
      </c>
      <c r="E79" s="207" t="str">
        <f>'Insumos e serviços'!D92</f>
        <v>Pneumonia Enzoótica</v>
      </c>
      <c r="F79" s="207"/>
      <c r="G79" s="207"/>
      <c r="H79" s="207"/>
      <c r="I79" s="207"/>
      <c r="J79" s="207"/>
      <c r="K79" s="207"/>
      <c r="L79" s="984">
        <f>'Insumos e serviços'!F92*'Insumos e serviços'!H92</f>
        <v>1.7626575342465753</v>
      </c>
      <c r="M79" s="985"/>
      <c r="N79" s="984">
        <f>L79*4.345</f>
        <v>7.6587469863013693</v>
      </c>
      <c r="O79" s="985"/>
      <c r="P79" s="984">
        <f>N79*12</f>
        <v>91.904963835616428</v>
      </c>
      <c r="Q79" s="986"/>
    </row>
    <row r="80" spans="2:17" x14ac:dyDescent="0.25">
      <c r="B80" s="210"/>
      <c r="C80" s="207"/>
      <c r="D80" s="207" t="s">
        <v>732</v>
      </c>
      <c r="E80" s="207" t="str">
        <f>'Insumos e serviços'!D93</f>
        <v>Vacina</v>
      </c>
      <c r="F80" s="207"/>
      <c r="G80" s="207"/>
      <c r="H80" s="207"/>
      <c r="I80" s="207"/>
      <c r="J80" s="207"/>
      <c r="K80" s="207"/>
      <c r="L80" s="984">
        <f>'Insumos e serviços'!F93*'Insumos e serviços'!H93</f>
        <v>0</v>
      </c>
      <c r="M80" s="985"/>
      <c r="N80" s="984">
        <f>L80*4.345</f>
        <v>0</v>
      </c>
      <c r="O80" s="985"/>
      <c r="P80" s="984">
        <f>N80*12</f>
        <v>0</v>
      </c>
      <c r="Q80" s="986"/>
    </row>
    <row r="81" spans="2:17" x14ac:dyDescent="0.25">
      <c r="B81" s="210"/>
      <c r="C81" s="207"/>
      <c r="D81" s="207"/>
      <c r="E81" s="233" t="s">
        <v>143</v>
      </c>
      <c r="F81" s="207"/>
      <c r="G81" s="207"/>
      <c r="H81" s="207"/>
      <c r="I81" s="207"/>
      <c r="J81" s="207"/>
      <c r="K81" s="207"/>
      <c r="L81" s="984"/>
      <c r="M81" s="985"/>
      <c r="N81" s="984"/>
      <c r="O81" s="985"/>
      <c r="P81" s="984"/>
      <c r="Q81" s="986"/>
    </row>
    <row r="82" spans="2:17" x14ac:dyDescent="0.25">
      <c r="B82" s="210"/>
      <c r="C82" s="207"/>
      <c r="D82" s="208" t="s">
        <v>203</v>
      </c>
      <c r="E82" s="209" t="str">
        <f>'Insumos e serviços'!D98</f>
        <v>Marrãs</v>
      </c>
      <c r="F82" s="207"/>
      <c r="G82" s="207"/>
      <c r="H82" s="207"/>
      <c r="I82" s="207"/>
      <c r="J82" s="207"/>
      <c r="K82" s="207"/>
      <c r="L82" s="984"/>
      <c r="M82" s="985"/>
      <c r="N82" s="984"/>
      <c r="O82" s="985"/>
      <c r="P82" s="984"/>
      <c r="Q82" s="986"/>
    </row>
    <row r="83" spans="2:17" x14ac:dyDescent="0.25">
      <c r="B83" s="210"/>
      <c r="C83" s="207"/>
      <c r="D83" s="207" t="s">
        <v>208</v>
      </c>
      <c r="E83" s="207" t="str">
        <f>'Insumos e serviços'!D99</f>
        <v>Medicamento 1</v>
      </c>
      <c r="F83" s="207"/>
      <c r="G83" s="207"/>
      <c r="H83" s="207"/>
      <c r="I83" s="207"/>
      <c r="J83" s="207"/>
      <c r="K83" s="207"/>
      <c r="L83" s="984">
        <f>'Insumos e serviços'!F99*'Insumos e serviços'!H99</f>
        <v>0</v>
      </c>
      <c r="M83" s="985"/>
      <c r="N83" s="984">
        <f>L83*4.345</f>
        <v>0</v>
      </c>
      <c r="O83" s="985"/>
      <c r="P83" s="984">
        <f>N83*12</f>
        <v>0</v>
      </c>
      <c r="Q83" s="986"/>
    </row>
    <row r="84" spans="2:17" x14ac:dyDescent="0.25">
      <c r="B84" s="210"/>
      <c r="C84" s="207"/>
      <c r="D84" s="207" t="s">
        <v>733</v>
      </c>
      <c r="E84" s="207" t="str">
        <f>'Insumos e serviços'!D100</f>
        <v>Medicamento 2</v>
      </c>
      <c r="F84" s="207"/>
      <c r="G84" s="207"/>
      <c r="H84" s="207"/>
      <c r="I84" s="207"/>
      <c r="J84" s="207"/>
      <c r="K84" s="207"/>
      <c r="L84" s="984">
        <f>'Insumos e serviços'!F100*'Insumos e serviços'!H100</f>
        <v>0</v>
      </c>
      <c r="M84" s="985"/>
      <c r="N84" s="984">
        <f>L84*4.345</f>
        <v>0</v>
      </c>
      <c r="O84" s="985"/>
      <c r="P84" s="984">
        <f>N84*12</f>
        <v>0</v>
      </c>
      <c r="Q84" s="986"/>
    </row>
    <row r="85" spans="2:17" x14ac:dyDescent="0.25">
      <c r="B85" s="210"/>
      <c r="C85" s="207"/>
      <c r="D85" s="208" t="s">
        <v>205</v>
      </c>
      <c r="E85" s="209" t="str">
        <f>'Insumos e serviços'!D101</f>
        <v>Porcas</v>
      </c>
      <c r="F85" s="207"/>
      <c r="G85" s="207"/>
      <c r="H85" s="207"/>
      <c r="I85" s="207"/>
      <c r="J85" s="207"/>
      <c r="K85" s="207"/>
      <c r="L85" s="984"/>
      <c r="M85" s="985"/>
      <c r="N85" s="984"/>
      <c r="O85" s="985"/>
      <c r="P85" s="984"/>
      <c r="Q85" s="986"/>
    </row>
    <row r="86" spans="2:17" x14ac:dyDescent="0.25">
      <c r="B86" s="210"/>
      <c r="C86" s="207"/>
      <c r="D86" s="207" t="s">
        <v>209</v>
      </c>
      <c r="E86" s="207" t="str">
        <f>'Insumos e serviços'!D102</f>
        <v>Draxxin</v>
      </c>
      <c r="F86" s="207"/>
      <c r="G86" s="207"/>
      <c r="H86" s="207"/>
      <c r="I86" s="207"/>
      <c r="J86" s="207"/>
      <c r="K86" s="207"/>
      <c r="L86" s="984">
        <f>'Insumos e serviços'!F102*'Insumos e serviços'!H102</f>
        <v>1537.3590220509227</v>
      </c>
      <c r="M86" s="985"/>
      <c r="N86" s="984">
        <f>L86*4.345</f>
        <v>6679.8249508112585</v>
      </c>
      <c r="O86" s="985"/>
      <c r="P86" s="984">
        <f>N86*12</f>
        <v>80157.89940973511</v>
      </c>
      <c r="Q86" s="986"/>
    </row>
    <row r="87" spans="2:17" x14ac:dyDescent="0.25">
      <c r="B87" s="210"/>
      <c r="C87" s="207"/>
      <c r="D87" s="207" t="s">
        <v>210</v>
      </c>
      <c r="E87" s="207" t="str">
        <f>'Insumos e serviços'!D103</f>
        <v>Maxicam</v>
      </c>
      <c r="F87" s="207"/>
      <c r="G87" s="207"/>
      <c r="H87" s="207"/>
      <c r="I87" s="207"/>
      <c r="J87" s="207"/>
      <c r="K87" s="207"/>
      <c r="L87" s="984">
        <f>'Insumos e serviços'!F103*'Insumos e serviços'!H103</f>
        <v>1552.4947648840543</v>
      </c>
      <c r="M87" s="985"/>
      <c r="N87" s="984">
        <f>L87*4.345</f>
        <v>6745.5897534212154</v>
      </c>
      <c r="O87" s="985"/>
      <c r="P87" s="984">
        <f>N87*12</f>
        <v>80947.077041054581</v>
      </c>
      <c r="Q87" s="986"/>
    </row>
    <row r="88" spans="2:17" x14ac:dyDescent="0.25">
      <c r="B88" s="210"/>
      <c r="C88" s="207"/>
      <c r="D88" s="208" t="s">
        <v>206</v>
      </c>
      <c r="E88" s="209" t="str">
        <f>'Insumos e serviços'!D104</f>
        <v>Cachaços</v>
      </c>
      <c r="F88" s="207"/>
      <c r="G88" s="207"/>
      <c r="H88" s="207"/>
      <c r="I88" s="207"/>
      <c r="J88" s="207"/>
      <c r="K88" s="207"/>
      <c r="L88" s="984"/>
      <c r="M88" s="985"/>
      <c r="N88" s="984"/>
      <c r="O88" s="985"/>
      <c r="P88" s="984"/>
      <c r="Q88" s="986"/>
    </row>
    <row r="89" spans="2:17" x14ac:dyDescent="0.25">
      <c r="B89" s="210"/>
      <c r="C89" s="207"/>
      <c r="D89" s="207" t="s">
        <v>211</v>
      </c>
      <c r="E89" s="207" t="str">
        <f>'Insumos e serviços'!D105</f>
        <v>Draxxin</v>
      </c>
      <c r="F89" s="207"/>
      <c r="G89" s="207"/>
      <c r="H89" s="207"/>
      <c r="I89" s="207"/>
      <c r="J89" s="207"/>
      <c r="K89" s="207"/>
      <c r="L89" s="984">
        <f>'Insumos e serviços'!F105*'Insumos e serviços'!H105</f>
        <v>233.16904109589041</v>
      </c>
      <c r="M89" s="985"/>
      <c r="N89" s="984">
        <f>L89*4.345</f>
        <v>1013.1194835616437</v>
      </c>
      <c r="O89" s="985"/>
      <c r="P89" s="984">
        <f>N89*12</f>
        <v>12157.433802739724</v>
      </c>
      <c r="Q89" s="986"/>
    </row>
    <row r="90" spans="2:17" x14ac:dyDescent="0.25">
      <c r="B90" s="210"/>
      <c r="C90" s="207"/>
      <c r="D90" s="207" t="s">
        <v>212</v>
      </c>
      <c r="E90" s="207" t="str">
        <f>'Insumos e serviços'!D106</f>
        <v xml:space="preserve">Maxicam </v>
      </c>
      <c r="F90" s="207"/>
      <c r="G90" s="207"/>
      <c r="H90" s="207"/>
      <c r="I90" s="207"/>
      <c r="J90" s="207"/>
      <c r="K90" s="207"/>
      <c r="L90" s="984">
        <f>'Insumos e serviços'!F106*'Insumos e serviços'!H106</f>
        <v>39.244109589041095</v>
      </c>
      <c r="M90" s="985"/>
      <c r="N90" s="984">
        <f>L90*4.345</f>
        <v>170.51565616438356</v>
      </c>
      <c r="O90" s="985"/>
      <c r="P90" s="984">
        <f>N90*12</f>
        <v>2046.1878739726026</v>
      </c>
      <c r="Q90" s="986"/>
    </row>
    <row r="91" spans="2:17" x14ac:dyDescent="0.25">
      <c r="B91" s="210"/>
      <c r="C91" s="207"/>
      <c r="D91" s="208" t="s">
        <v>207</v>
      </c>
      <c r="E91" s="209" t="str">
        <f>'Insumos e serviços'!D107</f>
        <v>Rufiões</v>
      </c>
      <c r="F91" s="207"/>
      <c r="G91" s="207"/>
      <c r="H91" s="207"/>
      <c r="I91" s="207"/>
      <c r="J91" s="207"/>
      <c r="K91" s="207"/>
      <c r="L91" s="984"/>
      <c r="M91" s="985"/>
      <c r="N91" s="984"/>
      <c r="O91" s="985"/>
      <c r="P91" s="984"/>
      <c r="Q91" s="986"/>
    </row>
    <row r="92" spans="2:17" x14ac:dyDescent="0.25">
      <c r="B92" s="210"/>
      <c r="C92" s="207"/>
      <c r="D92" s="207" t="s">
        <v>213</v>
      </c>
      <c r="E92" s="207" t="str">
        <f>'Insumos e serviços'!D108</f>
        <v>Draxxin</v>
      </c>
      <c r="F92" s="207"/>
      <c r="G92" s="207"/>
      <c r="H92" s="207"/>
      <c r="I92" s="207"/>
      <c r="J92" s="207"/>
      <c r="K92" s="207"/>
      <c r="L92" s="984">
        <f>'Insumos e serviços'!F108*'Insumos e serviços'!H108</f>
        <v>2562.2497666013146</v>
      </c>
      <c r="M92" s="985"/>
      <c r="N92" s="984">
        <f>L92*4.345</f>
        <v>11132.975235882712</v>
      </c>
      <c r="O92" s="985"/>
      <c r="P92" s="984">
        <f>N92*12</f>
        <v>133595.70283059255</v>
      </c>
      <c r="Q92" s="986"/>
    </row>
    <row r="93" spans="2:17" x14ac:dyDescent="0.25">
      <c r="B93" s="210"/>
      <c r="C93" s="207"/>
      <c r="D93" s="207" t="s">
        <v>734</v>
      </c>
      <c r="E93" s="207" t="str">
        <f>'Insumos e serviços'!D109</f>
        <v>Maxicam</v>
      </c>
      <c r="F93" s="207"/>
      <c r="G93" s="207"/>
      <c r="H93" s="207"/>
      <c r="I93" s="207"/>
      <c r="J93" s="207"/>
      <c r="K93" s="207"/>
      <c r="L93" s="984">
        <f>'Insumos e serviços'!F109*'Insumos e serviços'!H109</f>
        <v>431.24597571958373</v>
      </c>
      <c r="M93" s="985"/>
      <c r="N93" s="984">
        <f>L93*4.345</f>
        <v>1873.7637645015911</v>
      </c>
      <c r="O93" s="985"/>
      <c r="P93" s="984">
        <f>N93*12</f>
        <v>22485.165174019094</v>
      </c>
      <c r="Q93" s="986"/>
    </row>
    <row r="94" spans="2:17" ht="63" customHeight="1" x14ac:dyDescent="0.25">
      <c r="B94" s="1036" t="s">
        <v>214</v>
      </c>
      <c r="C94" s="1037"/>
      <c r="D94" s="1037"/>
      <c r="E94" s="1037"/>
      <c r="F94" s="1037"/>
      <c r="G94" s="1037"/>
      <c r="H94" s="1037"/>
      <c r="I94" s="1037"/>
      <c r="J94" s="1037"/>
      <c r="K94" s="1037"/>
      <c r="L94" s="995">
        <f>SUM(L64,L66,L65,L69,L70,L71,L76,L77,L79,L80,L83,L84,L86,L87,L89,L90,L92,L93)</f>
        <v>8183.8191651459538</v>
      </c>
      <c r="M94" s="996"/>
      <c r="N94" s="995">
        <f>SUM(N64,N66,N65,N69,N70,N71,N76,N77,N79,N80,N83,N84,N86,N87,N89,N90,N92,N93)</f>
        <v>35558.694272559165</v>
      </c>
      <c r="O94" s="996"/>
      <c r="P94" s="995">
        <f>SUM(P64,P66,P65,P69,P70,P71,P76,P77,P79,P80,P83,P84,P86,P87,P89,P90,P92,P93)</f>
        <v>426704.33127071004</v>
      </c>
      <c r="Q94" s="997"/>
    </row>
    <row r="95" spans="2:17" ht="31.5" customHeight="1" x14ac:dyDescent="0.25">
      <c r="B95" s="214"/>
      <c r="C95" s="211"/>
      <c r="D95" s="212" t="s">
        <v>218</v>
      </c>
      <c r="E95" s="213" t="str">
        <f>'Insumos e serviços'!D185</f>
        <v>Matrizes</v>
      </c>
      <c r="F95" s="211"/>
      <c r="G95" s="211"/>
      <c r="H95" s="211"/>
      <c r="I95" s="211"/>
      <c r="J95" s="211"/>
      <c r="K95" s="211"/>
      <c r="L95" s="1010"/>
      <c r="M95" s="1016"/>
      <c r="N95" s="1010"/>
      <c r="O95" s="1016"/>
      <c r="P95" s="1010"/>
      <c r="Q95" s="1011"/>
    </row>
    <row r="96" spans="2:17" x14ac:dyDescent="0.25">
      <c r="B96" s="214"/>
      <c r="C96" s="211"/>
      <c r="D96" s="212"/>
      <c r="E96" s="234" t="s">
        <v>148</v>
      </c>
      <c r="F96" s="211"/>
      <c r="G96" s="211"/>
      <c r="H96" s="211"/>
      <c r="I96" s="211"/>
      <c r="J96" s="211"/>
      <c r="K96" s="211"/>
      <c r="L96" s="1010"/>
      <c r="M96" s="1016"/>
      <c r="N96" s="1010"/>
      <c r="O96" s="1016"/>
      <c r="P96" s="1010"/>
      <c r="Q96" s="1011"/>
    </row>
    <row r="97" spans="2:17" x14ac:dyDescent="0.25">
      <c r="B97" s="214"/>
      <c r="C97" s="211"/>
      <c r="D97" s="211" t="s">
        <v>220</v>
      </c>
      <c r="E97" s="211" t="str">
        <f>'Insumos e serviços'!D186</f>
        <v xml:space="preserve">Autógena </v>
      </c>
      <c r="F97" s="211"/>
      <c r="G97" s="211"/>
      <c r="H97" s="211"/>
      <c r="I97" s="211"/>
      <c r="J97" s="211"/>
      <c r="K97" s="211"/>
      <c r="L97" s="1010">
        <f>'Insumos e serviços'!F186*'Insumos e serviços'!H186</f>
        <v>0</v>
      </c>
      <c r="M97" s="1016"/>
      <c r="N97" s="1010">
        <f>L97*4.345</f>
        <v>0</v>
      </c>
      <c r="O97" s="1016"/>
      <c r="P97" s="1010">
        <f>N97*12</f>
        <v>0</v>
      </c>
      <c r="Q97" s="1011"/>
    </row>
    <row r="98" spans="2:17" x14ac:dyDescent="0.25">
      <c r="B98" s="214"/>
      <c r="C98" s="211"/>
      <c r="D98" s="211" t="s">
        <v>221</v>
      </c>
      <c r="E98" s="211" t="str">
        <f>'Insumos e serviços'!D187</f>
        <v>Vacina 2</v>
      </c>
      <c r="F98" s="211"/>
      <c r="G98" s="211"/>
      <c r="H98" s="211"/>
      <c r="I98" s="211"/>
      <c r="J98" s="211"/>
      <c r="K98" s="211"/>
      <c r="L98" s="1010">
        <f>'Insumos e serviços'!F187*'Insumos e serviços'!H187</f>
        <v>0</v>
      </c>
      <c r="M98" s="1016"/>
      <c r="N98" s="1010">
        <f>L98*4.345</f>
        <v>0</v>
      </c>
      <c r="O98" s="1016"/>
      <c r="P98" s="1010">
        <f>N98*12</f>
        <v>0</v>
      </c>
      <c r="Q98" s="1011"/>
    </row>
    <row r="99" spans="2:17" x14ac:dyDescent="0.25">
      <c r="B99" s="214"/>
      <c r="C99" s="211"/>
      <c r="D99" s="212" t="s">
        <v>222</v>
      </c>
      <c r="E99" s="213" t="str">
        <f>'Insumos e serviços'!D188</f>
        <v>Leitões</v>
      </c>
      <c r="F99" s="211"/>
      <c r="G99" s="211"/>
      <c r="H99" s="211"/>
      <c r="I99" s="211"/>
      <c r="J99" s="211"/>
      <c r="K99" s="211"/>
      <c r="L99" s="1010"/>
      <c r="M99" s="1016"/>
      <c r="N99" s="1010"/>
      <c r="O99" s="1016"/>
      <c r="P99" s="1010"/>
      <c r="Q99" s="1011"/>
    </row>
    <row r="100" spans="2:17" x14ac:dyDescent="0.25">
      <c r="B100" s="214"/>
      <c r="C100" s="211"/>
      <c r="D100" s="211" t="s">
        <v>223</v>
      </c>
      <c r="E100" s="211" t="str">
        <f>'Insumos e serviços'!D189</f>
        <v>Circovírus</v>
      </c>
      <c r="F100" s="211"/>
      <c r="G100" s="211"/>
      <c r="H100" s="211"/>
      <c r="I100" s="211"/>
      <c r="J100" s="211"/>
      <c r="K100" s="211"/>
      <c r="L100" s="1010">
        <f>'Insumos e serviços'!F189*'Insumos e serviços'!H189</f>
        <v>8526.5011172486411</v>
      </c>
      <c r="M100" s="1016"/>
      <c r="N100" s="1010">
        <f>L100*4.345</f>
        <v>37047.64735444534</v>
      </c>
      <c r="O100" s="1016"/>
      <c r="P100" s="1010">
        <f>N100*12</f>
        <v>444571.76825334411</v>
      </c>
      <c r="Q100" s="1011"/>
    </row>
    <row r="101" spans="2:17" x14ac:dyDescent="0.25">
      <c r="B101" s="214"/>
      <c r="C101" s="211"/>
      <c r="D101" s="211" t="s">
        <v>224</v>
      </c>
      <c r="E101" s="211" t="str">
        <f>'Insumos e serviços'!D190</f>
        <v>Pneumonia Enzoótica</v>
      </c>
      <c r="F101" s="211"/>
      <c r="G101" s="211"/>
      <c r="H101" s="211"/>
      <c r="I101" s="211"/>
      <c r="J101" s="211"/>
      <c r="K101" s="211"/>
      <c r="L101" s="1010">
        <f>'Insumos e serviços'!F190*'Insumos e serviços'!H190</f>
        <v>2664.6160649917956</v>
      </c>
      <c r="M101" s="1016"/>
      <c r="N101" s="1010">
        <f>L101*4.345</f>
        <v>11577.756802389351</v>
      </c>
      <c r="O101" s="1016"/>
      <c r="P101" s="1010">
        <f>N101*12</f>
        <v>138933.0816286722</v>
      </c>
      <c r="Q101" s="1011"/>
    </row>
    <row r="102" spans="2:17" x14ac:dyDescent="0.25">
      <c r="B102" s="214"/>
      <c r="C102" s="211"/>
      <c r="D102" s="211"/>
      <c r="E102" s="234" t="s">
        <v>143</v>
      </c>
      <c r="F102" s="211"/>
      <c r="G102" s="211"/>
      <c r="H102" s="211"/>
      <c r="I102" s="211"/>
      <c r="J102" s="211"/>
      <c r="K102" s="211"/>
      <c r="L102" s="1010"/>
      <c r="M102" s="1016"/>
      <c r="N102" s="1010"/>
      <c r="O102" s="1016"/>
      <c r="P102" s="1010"/>
      <c r="Q102" s="1011"/>
    </row>
    <row r="103" spans="2:17" x14ac:dyDescent="0.25">
      <c r="B103" s="214"/>
      <c r="C103" s="211"/>
      <c r="D103" s="212" t="s">
        <v>225</v>
      </c>
      <c r="E103" s="213" t="str">
        <f>'Insumos e serviços'!D195</f>
        <v>Matrizes</v>
      </c>
      <c r="F103" s="211"/>
      <c r="G103" s="211"/>
      <c r="H103" s="211"/>
      <c r="I103" s="211"/>
      <c r="J103" s="211"/>
      <c r="K103" s="211"/>
      <c r="L103" s="1010"/>
      <c r="M103" s="1016"/>
      <c r="N103" s="1010"/>
      <c r="O103" s="1016"/>
      <c r="P103" s="1010"/>
      <c r="Q103" s="1011"/>
    </row>
    <row r="104" spans="2:17" x14ac:dyDescent="0.25">
      <c r="B104" s="214"/>
      <c r="C104" s="211"/>
      <c r="D104" s="211" t="s">
        <v>227</v>
      </c>
      <c r="E104" s="211" t="str">
        <f>'Insumos e serviços'!D196</f>
        <v>Maxicam</v>
      </c>
      <c r="F104" s="211"/>
      <c r="G104" s="211"/>
      <c r="H104" s="211"/>
      <c r="I104" s="211"/>
      <c r="J104" s="211"/>
      <c r="K104" s="211"/>
      <c r="L104" s="1010">
        <f>'Insumos e serviços'!F196*'Insumos e serviços'!H196</f>
        <v>1409.6652465147215</v>
      </c>
      <c r="M104" s="1016"/>
      <c r="N104" s="1010">
        <f>L104*4.345</f>
        <v>6124.995496106465</v>
      </c>
      <c r="O104" s="1016"/>
      <c r="P104" s="1010">
        <f>N104*12</f>
        <v>73499.94595327758</v>
      </c>
      <c r="Q104" s="1011"/>
    </row>
    <row r="105" spans="2:17" x14ac:dyDescent="0.25">
      <c r="B105" s="214"/>
      <c r="C105" s="211"/>
      <c r="D105" s="211" t="s">
        <v>228</v>
      </c>
      <c r="E105" s="211" t="str">
        <f>'Insumos e serviços'!D197</f>
        <v>Flumax</v>
      </c>
      <c r="F105" s="211"/>
      <c r="G105" s="211"/>
      <c r="H105" s="211"/>
      <c r="I105" s="211"/>
      <c r="J105" s="211"/>
      <c r="K105" s="211"/>
      <c r="L105" s="1010">
        <f>'Insumos e serviços'!F197*'Insumos e serviços'!H197</f>
        <v>237.56197051292659</v>
      </c>
      <c r="M105" s="1016"/>
      <c r="N105" s="1010">
        <f>L105*4.345</f>
        <v>1032.2067618786659</v>
      </c>
      <c r="O105" s="1016"/>
      <c r="P105" s="1010">
        <f>N105*12</f>
        <v>12386.481142543991</v>
      </c>
      <c r="Q105" s="1011"/>
    </row>
    <row r="106" spans="2:17" x14ac:dyDescent="0.25">
      <c r="B106" s="214"/>
      <c r="C106" s="211"/>
      <c r="D106" s="212" t="s">
        <v>226</v>
      </c>
      <c r="E106" s="213" t="str">
        <f>'Insumos e serviços'!D198</f>
        <v>Leitões</v>
      </c>
      <c r="F106" s="211"/>
      <c r="G106" s="211"/>
      <c r="H106" s="211"/>
      <c r="I106" s="211"/>
      <c r="J106" s="211"/>
      <c r="K106" s="211"/>
      <c r="L106" s="1010"/>
      <c r="M106" s="1016"/>
      <c r="N106" s="1010"/>
      <c r="O106" s="1016"/>
      <c r="P106" s="1010"/>
      <c r="Q106" s="1011"/>
    </row>
    <row r="107" spans="2:17" x14ac:dyDescent="0.25">
      <c r="B107" s="214"/>
      <c r="C107" s="211"/>
      <c r="D107" s="211" t="s">
        <v>229</v>
      </c>
      <c r="E107" s="211" t="str">
        <f>'Insumos e serviços'!D199</f>
        <v>Iodo</v>
      </c>
      <c r="F107" s="211"/>
      <c r="G107" s="211"/>
      <c r="H107" s="211"/>
      <c r="I107" s="211"/>
      <c r="J107" s="211"/>
      <c r="K107" s="211"/>
      <c r="L107" s="1010">
        <f>'Insumos e serviços'!F199*'Insumos e serviços'!H199</f>
        <v>73.868202748441206</v>
      </c>
      <c r="M107" s="1016"/>
      <c r="N107" s="1010">
        <f>L107*4.345</f>
        <v>320.95734094197701</v>
      </c>
      <c r="O107" s="1016"/>
      <c r="P107" s="1010">
        <f>N107*12</f>
        <v>3851.4880913037241</v>
      </c>
      <c r="Q107" s="1011"/>
    </row>
    <row r="108" spans="2:17" x14ac:dyDescent="0.25">
      <c r="B108" s="214"/>
      <c r="C108" s="211"/>
      <c r="D108" s="211" t="s">
        <v>230</v>
      </c>
      <c r="E108" s="211" t="str">
        <f>'Insumos e serviços'!D200</f>
        <v>Medicamento 2</v>
      </c>
      <c r="F108" s="211"/>
      <c r="G108" s="211"/>
      <c r="H108" s="211"/>
      <c r="I108" s="211"/>
      <c r="J108" s="211"/>
      <c r="K108" s="211"/>
      <c r="L108" s="1010">
        <f>'Insumos e serviços'!F200*'Insumos e serviços'!H200</f>
        <v>0</v>
      </c>
      <c r="M108" s="1016"/>
      <c r="N108" s="1010">
        <f>L108*4.345</f>
        <v>0</v>
      </c>
      <c r="O108" s="1016"/>
      <c r="P108" s="1010">
        <f>N108*12</f>
        <v>0</v>
      </c>
      <c r="Q108" s="1011"/>
    </row>
    <row r="109" spans="2:17" ht="54" customHeight="1" x14ac:dyDescent="0.25">
      <c r="B109" s="1038" t="s">
        <v>234</v>
      </c>
      <c r="C109" s="1039"/>
      <c r="D109" s="1039"/>
      <c r="E109" s="1039"/>
      <c r="F109" s="1039"/>
      <c r="G109" s="1039"/>
      <c r="H109" s="1039"/>
      <c r="I109" s="1039"/>
      <c r="J109" s="1039"/>
      <c r="K109" s="1039"/>
      <c r="L109" s="998">
        <f>SUM(L97,L98,L100,L101,L104,L105,L107,L108)</f>
        <v>12912.212602016525</v>
      </c>
      <c r="M109" s="999"/>
      <c r="N109" s="998">
        <f>SUM(N97,N98,N100,N101,N104,N105,N107,N108)</f>
        <v>56103.563755761796</v>
      </c>
      <c r="O109" s="999"/>
      <c r="P109" s="998">
        <f>SUM(P97,P98,P100,P101,P104,P105,P107,P108)</f>
        <v>673242.76506914152</v>
      </c>
      <c r="Q109" s="1027"/>
    </row>
    <row r="110" spans="2:17" x14ac:dyDescent="0.25">
      <c r="B110" s="215"/>
      <c r="C110" s="216"/>
      <c r="D110" s="217" t="s">
        <v>235</v>
      </c>
      <c r="E110" s="218" t="str">
        <f>'Insumos e serviços'!D243</f>
        <v>Leitões</v>
      </c>
      <c r="F110" s="216"/>
      <c r="G110" s="216"/>
      <c r="H110" s="216"/>
      <c r="I110" s="216"/>
      <c r="J110" s="216"/>
      <c r="K110" s="216"/>
      <c r="L110" s="1007"/>
      <c r="M110" s="1018"/>
      <c r="N110" s="1007"/>
      <c r="O110" s="1018"/>
      <c r="P110" s="1007"/>
      <c r="Q110" s="1008"/>
    </row>
    <row r="111" spans="2:17" x14ac:dyDescent="0.25">
      <c r="B111" s="215"/>
      <c r="C111" s="216"/>
      <c r="D111" s="217"/>
      <c r="E111" s="235" t="s">
        <v>148</v>
      </c>
      <c r="F111" s="216"/>
      <c r="G111" s="216"/>
      <c r="H111" s="216"/>
      <c r="I111" s="216"/>
      <c r="J111" s="216"/>
      <c r="K111" s="216"/>
      <c r="L111" s="1007"/>
      <c r="M111" s="1018"/>
      <c r="N111" s="1007"/>
      <c r="O111" s="1018"/>
      <c r="P111" s="1007"/>
      <c r="Q111" s="1008"/>
    </row>
    <row r="112" spans="2:17" x14ac:dyDescent="0.25">
      <c r="B112" s="215"/>
      <c r="C112" s="216"/>
      <c r="D112" s="216" t="s">
        <v>236</v>
      </c>
      <c r="E112" s="216" t="str">
        <f>'Insumos e serviços'!D244</f>
        <v xml:space="preserve">Vacina autógena </v>
      </c>
      <c r="F112" s="216"/>
      <c r="G112" s="216"/>
      <c r="H112" s="216"/>
      <c r="I112" s="216"/>
      <c r="J112" s="216"/>
      <c r="K112" s="216"/>
      <c r="L112" s="1007">
        <f>'Insumos e serviços'!F244*'Insumos e serviços'!H244</f>
        <v>0</v>
      </c>
      <c r="M112" s="1018"/>
      <c r="N112" s="1007">
        <f>L112*4.345</f>
        <v>0</v>
      </c>
      <c r="O112" s="1018"/>
      <c r="P112" s="1007">
        <f>N112*12</f>
        <v>0</v>
      </c>
      <c r="Q112" s="1008"/>
    </row>
    <row r="113" spans="2:17" x14ac:dyDescent="0.25">
      <c r="B113" s="215"/>
      <c r="C113" s="216"/>
      <c r="D113" s="216" t="s">
        <v>237</v>
      </c>
      <c r="E113" s="216" t="str">
        <f>'Insumos e serviços'!D245</f>
        <v>Vacina 2 (até 38d)</v>
      </c>
      <c r="F113" s="216"/>
      <c r="G113" s="216"/>
      <c r="H113" s="216"/>
      <c r="I113" s="216"/>
      <c r="J113" s="216"/>
      <c r="K113" s="216"/>
      <c r="L113" s="1007">
        <f>'Insumos e serviços'!F245*'Insumos e serviços'!H245</f>
        <v>0</v>
      </c>
      <c r="M113" s="1018"/>
      <c r="N113" s="1007">
        <f>L113*4.345</f>
        <v>0</v>
      </c>
      <c r="O113" s="1018"/>
      <c r="P113" s="1007">
        <f>N113*12</f>
        <v>0</v>
      </c>
      <c r="Q113" s="1008"/>
    </row>
    <row r="114" spans="2:17" x14ac:dyDescent="0.25">
      <c r="B114" s="215"/>
      <c r="C114" s="216"/>
      <c r="D114" s="216" t="s">
        <v>238</v>
      </c>
      <c r="E114" s="216" t="str">
        <f>'Insumos e serviços'!D246</f>
        <v>Vacina 3 (até 46d)</v>
      </c>
      <c r="F114" s="216"/>
      <c r="G114" s="216"/>
      <c r="H114" s="216"/>
      <c r="I114" s="216"/>
      <c r="J114" s="216"/>
      <c r="K114" s="216"/>
      <c r="L114" s="1007">
        <f>'Insumos e serviços'!F246*'Insumos e serviços'!H246</f>
        <v>0</v>
      </c>
      <c r="M114" s="1018"/>
      <c r="N114" s="1007">
        <f>L114*4.345</f>
        <v>0</v>
      </c>
      <c r="O114" s="1018"/>
      <c r="P114" s="1007">
        <f>N114*12</f>
        <v>0</v>
      </c>
      <c r="Q114" s="1008"/>
    </row>
    <row r="115" spans="2:17" x14ac:dyDescent="0.25">
      <c r="B115" s="215"/>
      <c r="C115" s="216"/>
      <c r="D115" s="216" t="s">
        <v>239</v>
      </c>
      <c r="E115" s="216" t="str">
        <f>'Insumos e serviços'!D247</f>
        <v>Vacina 4 (até 66 d)</v>
      </c>
      <c r="F115" s="216"/>
      <c r="G115" s="216"/>
      <c r="H115" s="216"/>
      <c r="I115" s="216"/>
      <c r="J115" s="216"/>
      <c r="K115" s="216"/>
      <c r="L115" s="1007">
        <f>'Insumos e serviços'!F247*'Insumos e serviços'!H247</f>
        <v>0</v>
      </c>
      <c r="M115" s="1018"/>
      <c r="N115" s="1007">
        <f>L115*4.345</f>
        <v>0</v>
      </c>
      <c r="O115" s="1018"/>
      <c r="P115" s="1007">
        <f>N115*12</f>
        <v>0</v>
      </c>
      <c r="Q115" s="1008"/>
    </row>
    <row r="116" spans="2:17" x14ac:dyDescent="0.25">
      <c r="B116" s="215"/>
      <c r="C116" s="216"/>
      <c r="D116" s="216"/>
      <c r="E116" s="235" t="s">
        <v>143</v>
      </c>
      <c r="F116" s="216"/>
      <c r="G116" s="216"/>
      <c r="H116" s="216"/>
      <c r="I116" s="216"/>
      <c r="J116" s="216"/>
      <c r="K116" s="216"/>
      <c r="L116" s="1007"/>
      <c r="M116" s="1018"/>
      <c r="N116" s="1007"/>
      <c r="O116" s="1018"/>
      <c r="P116" s="1007"/>
      <c r="Q116" s="1008"/>
    </row>
    <row r="117" spans="2:17" x14ac:dyDescent="0.25">
      <c r="B117" s="215"/>
      <c r="C117" s="216"/>
      <c r="D117" s="216" t="s">
        <v>238</v>
      </c>
      <c r="E117" s="216" t="str">
        <f>'Insumos e serviços'!D253</f>
        <v>Vetrimoxim</v>
      </c>
      <c r="F117" s="216"/>
      <c r="G117" s="216"/>
      <c r="H117" s="216"/>
      <c r="I117" s="216"/>
      <c r="J117" s="216"/>
      <c r="K117" s="216"/>
      <c r="L117" s="1007">
        <f>'Insumos e serviços'!F253*'Insumos e serviços'!H253</f>
        <v>1352.8050791496808</v>
      </c>
      <c r="M117" s="1018"/>
      <c r="N117" s="1007">
        <f>L117*4.345</f>
        <v>5877.9380689053623</v>
      </c>
      <c r="O117" s="1018"/>
      <c r="P117" s="1007">
        <f>N117*12</f>
        <v>70535.256826864352</v>
      </c>
      <c r="Q117" s="1008"/>
    </row>
    <row r="118" spans="2:17" x14ac:dyDescent="0.25">
      <c r="B118" s="215"/>
      <c r="C118" s="216"/>
      <c r="D118" s="216" t="s">
        <v>239</v>
      </c>
      <c r="E118" s="216" t="str">
        <f>'Insumos e serviços'!D254</f>
        <v xml:space="preserve">Fortgal </v>
      </c>
      <c r="F118" s="216"/>
      <c r="G118" s="216"/>
      <c r="H118" s="216"/>
      <c r="I118" s="216"/>
      <c r="J118" s="216"/>
      <c r="K118" s="216"/>
      <c r="L118" s="1007">
        <f>'Insumos e serviços'!F254*'Insumos e serviços'!H254</f>
        <v>1769.5100376210901</v>
      </c>
      <c r="M118" s="1018"/>
      <c r="N118" s="1007">
        <f>L118*4.345</f>
        <v>7688.5211134636356</v>
      </c>
      <c r="O118" s="1018"/>
      <c r="P118" s="1007">
        <f>N118*12</f>
        <v>92262.253361563635</v>
      </c>
      <c r="Q118" s="1008"/>
    </row>
    <row r="119" spans="2:17" x14ac:dyDescent="0.25">
      <c r="B119" s="215"/>
      <c r="C119" s="216"/>
      <c r="D119" s="216" t="s">
        <v>240</v>
      </c>
      <c r="E119" s="216" t="str">
        <f>'Insumos e serviços'!D255</f>
        <v>Medicamento 3</v>
      </c>
      <c r="F119" s="216"/>
      <c r="G119" s="216"/>
      <c r="H119" s="216"/>
      <c r="I119" s="216"/>
      <c r="J119" s="216"/>
      <c r="K119" s="216"/>
      <c r="L119" s="1007">
        <f>'Insumos e serviços'!F255*'Insumos e serviços'!H255</f>
        <v>0</v>
      </c>
      <c r="M119" s="1018"/>
      <c r="N119" s="1007">
        <f>L119*4.345</f>
        <v>0</v>
      </c>
      <c r="O119" s="1018"/>
      <c r="P119" s="1007">
        <f>N119*12</f>
        <v>0</v>
      </c>
      <c r="Q119" s="1008"/>
    </row>
    <row r="120" spans="2:17" x14ac:dyDescent="0.25">
      <c r="B120" s="215"/>
      <c r="C120" s="216"/>
      <c r="D120" s="216" t="s">
        <v>816</v>
      </c>
      <c r="E120" s="216" t="str">
        <f>'Insumos e serviços'!D256</f>
        <v>Medicamento 4</v>
      </c>
      <c r="F120" s="216"/>
      <c r="G120" s="216"/>
      <c r="H120" s="216"/>
      <c r="I120" s="216"/>
      <c r="J120" s="216"/>
      <c r="K120" s="216"/>
      <c r="L120" s="1007">
        <f>'Insumos e serviços'!F256*'Insumos e serviços'!H256</f>
        <v>0</v>
      </c>
      <c r="M120" s="1018"/>
      <c r="N120" s="1007">
        <f>L120*4.345</f>
        <v>0</v>
      </c>
      <c r="O120" s="1018"/>
      <c r="P120" s="1007">
        <f>N120*12</f>
        <v>0</v>
      </c>
      <c r="Q120" s="1008"/>
    </row>
    <row r="121" spans="2:17" ht="54" customHeight="1" x14ac:dyDescent="0.25">
      <c r="B121" s="1040" t="s">
        <v>241</v>
      </c>
      <c r="C121" s="1041"/>
      <c r="D121" s="1041"/>
      <c r="E121" s="1041"/>
      <c r="F121" s="1041"/>
      <c r="G121" s="1041"/>
      <c r="H121" s="1041"/>
      <c r="I121" s="1041"/>
      <c r="J121" s="1041"/>
      <c r="K121" s="1041"/>
      <c r="L121" s="1024">
        <f>SUM(L112:M115,L117:M120)</f>
        <v>3122.3151167707711</v>
      </c>
      <c r="M121" s="1025"/>
      <c r="N121" s="1024">
        <f>SUM(N112:O115,N117:O120)</f>
        <v>13566.459182368999</v>
      </c>
      <c r="O121" s="1025"/>
      <c r="P121" s="1024">
        <f>SUM(P112:Q115,P117:Q120)</f>
        <v>162797.51018842799</v>
      </c>
      <c r="Q121" s="1026"/>
    </row>
    <row r="122" spans="2:17" ht="31.5" customHeight="1" x14ac:dyDescent="0.25">
      <c r="B122" s="219"/>
      <c r="C122" s="220"/>
      <c r="D122" s="221" t="s">
        <v>242</v>
      </c>
      <c r="E122" s="222" t="str">
        <f>'Insumos e serviços'!D299</f>
        <v>Cevado</v>
      </c>
      <c r="F122" s="220"/>
      <c r="G122" s="220"/>
      <c r="H122" s="220"/>
      <c r="I122" s="220"/>
      <c r="J122" s="220"/>
      <c r="K122" s="220"/>
      <c r="L122" s="987"/>
      <c r="M122" s="1017"/>
      <c r="N122" s="987"/>
      <c r="O122" s="1017"/>
      <c r="P122" s="987"/>
      <c r="Q122" s="988"/>
    </row>
    <row r="123" spans="2:17" x14ac:dyDescent="0.25">
      <c r="B123" s="219"/>
      <c r="C123" s="220"/>
      <c r="D123" s="221"/>
      <c r="E123" s="236" t="s">
        <v>148</v>
      </c>
      <c r="F123" s="220"/>
      <c r="G123" s="220"/>
      <c r="H123" s="220"/>
      <c r="I123" s="220"/>
      <c r="J123" s="220"/>
      <c r="K123" s="220"/>
      <c r="L123" s="987"/>
      <c r="M123" s="1017"/>
      <c r="N123" s="987"/>
      <c r="O123" s="1017"/>
      <c r="P123" s="987"/>
      <c r="Q123" s="988"/>
    </row>
    <row r="124" spans="2:17" x14ac:dyDescent="0.25">
      <c r="B124" s="219"/>
      <c r="C124" s="220"/>
      <c r="D124" s="220" t="s">
        <v>243</v>
      </c>
      <c r="E124" s="220" t="str">
        <f>'Insumos e serviços'!D300</f>
        <v xml:space="preserve">Autógena </v>
      </c>
      <c r="F124" s="220"/>
      <c r="G124" s="220"/>
      <c r="H124" s="220"/>
      <c r="I124" s="220"/>
      <c r="J124" s="220"/>
      <c r="K124" s="220"/>
      <c r="L124" s="987">
        <f>'Insumos e serviços'!F300*'Insumos e serviços'!H300</f>
        <v>0</v>
      </c>
      <c r="M124" s="1017"/>
      <c r="N124" s="987">
        <f>L124*4.345</f>
        <v>0</v>
      </c>
      <c r="O124" s="1017"/>
      <c r="P124" s="987">
        <f>N124*12</f>
        <v>0</v>
      </c>
      <c r="Q124" s="988"/>
    </row>
    <row r="125" spans="2:17" x14ac:dyDescent="0.25">
      <c r="B125" s="219"/>
      <c r="C125" s="220"/>
      <c r="D125" s="220" t="s">
        <v>244</v>
      </c>
      <c r="E125" s="220" t="str">
        <f>'Insumos e serviços'!D301</f>
        <v>Vacina 2 (até 110d)</v>
      </c>
      <c r="F125" s="220"/>
      <c r="G125" s="220"/>
      <c r="H125" s="220"/>
      <c r="I125" s="220"/>
      <c r="J125" s="220"/>
      <c r="K125" s="220"/>
      <c r="L125" s="987">
        <f>'Insumos e serviços'!F301*'Insumos e serviços'!H301</f>
        <v>0</v>
      </c>
      <c r="M125" s="1017"/>
      <c r="N125" s="987">
        <f>L125*4.345</f>
        <v>0</v>
      </c>
      <c r="O125" s="1017"/>
      <c r="P125" s="987">
        <f>N125*12</f>
        <v>0</v>
      </c>
      <c r="Q125" s="988"/>
    </row>
    <row r="126" spans="2:17" x14ac:dyDescent="0.25">
      <c r="B126" s="219"/>
      <c r="C126" s="220"/>
      <c r="D126" s="220" t="s">
        <v>245</v>
      </c>
      <c r="E126" s="220" t="str">
        <f>'Insumos e serviços'!D302</f>
        <v>Vacina 3 (até 125d)</v>
      </c>
      <c r="F126" s="220"/>
      <c r="G126" s="220"/>
      <c r="H126" s="220"/>
      <c r="I126" s="220"/>
      <c r="J126" s="220"/>
      <c r="K126" s="220"/>
      <c r="L126" s="987">
        <f>'Insumos e serviços'!F302*'Insumos e serviços'!H302</f>
        <v>0</v>
      </c>
      <c r="M126" s="1017"/>
      <c r="N126" s="987">
        <f>L126*4.345</f>
        <v>0</v>
      </c>
      <c r="O126" s="1017"/>
      <c r="P126" s="987">
        <f>N126*12</f>
        <v>0</v>
      </c>
      <c r="Q126" s="988"/>
    </row>
    <row r="127" spans="2:17" x14ac:dyDescent="0.25">
      <c r="B127" s="219"/>
      <c r="C127" s="220"/>
      <c r="D127" s="220" t="s">
        <v>246</v>
      </c>
      <c r="E127" s="220" t="str">
        <f>'Insumos e serviços'!D303</f>
        <v>Vacina 4 (até 154d)</v>
      </c>
      <c r="F127" s="220"/>
      <c r="G127" s="220"/>
      <c r="H127" s="220"/>
      <c r="I127" s="220"/>
      <c r="J127" s="220"/>
      <c r="K127" s="220"/>
      <c r="L127" s="987">
        <f>'Insumos e serviços'!F303*'Insumos e serviços'!H303</f>
        <v>0</v>
      </c>
      <c r="M127" s="1017"/>
      <c r="N127" s="987">
        <f>L127*4.345</f>
        <v>0</v>
      </c>
      <c r="O127" s="1017"/>
      <c r="P127" s="987">
        <f>N127*12</f>
        <v>0</v>
      </c>
      <c r="Q127" s="988"/>
    </row>
    <row r="128" spans="2:17" x14ac:dyDescent="0.25">
      <c r="B128" s="219"/>
      <c r="C128" s="220"/>
      <c r="D128" s="220"/>
      <c r="E128" s="236" t="s">
        <v>143</v>
      </c>
      <c r="F128" s="220"/>
      <c r="G128" s="220"/>
      <c r="H128" s="220"/>
      <c r="I128" s="220"/>
      <c r="J128" s="220"/>
      <c r="K128" s="220"/>
      <c r="L128" s="987"/>
      <c r="M128" s="1017"/>
      <c r="N128" s="987"/>
      <c r="O128" s="1017"/>
      <c r="P128" s="987"/>
      <c r="Q128" s="988"/>
    </row>
    <row r="129" spans="1:17" x14ac:dyDescent="0.25">
      <c r="B129" s="219"/>
      <c r="C129" s="220"/>
      <c r="D129" s="220" t="s">
        <v>247</v>
      </c>
      <c r="E129" s="220" t="str">
        <f>'Insumos e serviços'!D309</f>
        <v>Flumax</v>
      </c>
      <c r="F129" s="220"/>
      <c r="G129" s="220"/>
      <c r="H129" s="220"/>
      <c r="I129" s="220"/>
      <c r="J129" s="220"/>
      <c r="K129" s="220"/>
      <c r="L129" s="987">
        <f>'Insumos e serviços'!F309*'Insumos e serviços'!H309</f>
        <v>3536.4353976591378</v>
      </c>
      <c r="M129" s="1017"/>
      <c r="N129" s="987">
        <f>L129*4.345</f>
        <v>15365.811802828954</v>
      </c>
      <c r="O129" s="1017"/>
      <c r="P129" s="987">
        <f>N129*12</f>
        <v>184389.74163394744</v>
      </c>
      <c r="Q129" s="988"/>
    </row>
    <row r="130" spans="1:17" x14ac:dyDescent="0.25">
      <c r="B130" s="219"/>
      <c r="C130" s="220"/>
      <c r="D130" s="220" t="s">
        <v>735</v>
      </c>
      <c r="E130" s="220" t="str">
        <f>'Insumos e serviços'!D310</f>
        <v>Dexacort</v>
      </c>
      <c r="F130" s="220"/>
      <c r="G130" s="220"/>
      <c r="H130" s="220"/>
      <c r="I130" s="220"/>
      <c r="J130" s="220"/>
      <c r="K130" s="220"/>
      <c r="L130" s="987">
        <f>'Insumos e serviços'!F310*'Insumos e serviços'!H310</f>
        <v>1510.6716763157483</v>
      </c>
      <c r="M130" s="1017"/>
      <c r="N130" s="987">
        <f>L130*4.345</f>
        <v>6563.8684335919261</v>
      </c>
      <c r="O130" s="1017"/>
      <c r="P130" s="987">
        <f>N130*12</f>
        <v>78766.42120310312</v>
      </c>
      <c r="Q130" s="988"/>
    </row>
    <row r="131" spans="1:17" x14ac:dyDescent="0.25">
      <c r="B131" s="219"/>
      <c r="C131" s="220"/>
      <c r="D131" s="220" t="s">
        <v>736</v>
      </c>
      <c r="E131" s="220" t="str">
        <f>'Insumos e serviços'!D311</f>
        <v>Draxim</v>
      </c>
      <c r="F131" s="220"/>
      <c r="G131" s="220"/>
      <c r="H131" s="220"/>
      <c r="I131" s="220"/>
      <c r="J131" s="220"/>
      <c r="K131" s="220"/>
      <c r="L131" s="987">
        <f>'Insumos e serviços'!F311*'Insumos e serviços'!H311</f>
        <v>20489.288345349985</v>
      </c>
      <c r="M131" s="1017"/>
      <c r="N131" s="987">
        <f>L131*4.345</f>
        <v>89025.957860545677</v>
      </c>
      <c r="O131" s="1017"/>
      <c r="P131" s="987">
        <f>N131*12</f>
        <v>1068311.4943265482</v>
      </c>
      <c r="Q131" s="988"/>
    </row>
    <row r="132" spans="1:17" x14ac:dyDescent="0.25">
      <c r="B132" s="219"/>
      <c r="C132" s="220"/>
      <c r="D132" s="220" t="s">
        <v>737</v>
      </c>
      <c r="E132" s="220" t="str">
        <f>'Insumos e serviços'!D312</f>
        <v>Medicamento 4</v>
      </c>
      <c r="F132" s="220"/>
      <c r="G132" s="220"/>
      <c r="H132" s="220"/>
      <c r="I132" s="220"/>
      <c r="J132" s="220"/>
      <c r="K132" s="220"/>
      <c r="L132" s="987">
        <f>'Insumos e serviços'!F312*'Insumos e serviços'!H312</f>
        <v>0</v>
      </c>
      <c r="M132" s="1017"/>
      <c r="N132" s="987">
        <f>L132*4.345</f>
        <v>0</v>
      </c>
      <c r="O132" s="1017"/>
      <c r="P132" s="987">
        <f>N132*12</f>
        <v>0</v>
      </c>
      <c r="Q132" s="988"/>
    </row>
    <row r="133" spans="1:17" ht="51" customHeight="1" x14ac:dyDescent="0.25">
      <c r="B133" s="1030" t="s">
        <v>248</v>
      </c>
      <c r="C133" s="1031"/>
      <c r="D133" s="1031"/>
      <c r="E133" s="1031"/>
      <c r="F133" s="1031"/>
      <c r="G133" s="1031"/>
      <c r="H133" s="1031"/>
      <c r="I133" s="1031"/>
      <c r="J133" s="1031"/>
      <c r="K133" s="1031"/>
      <c r="L133" s="1021">
        <f>SUM(L124:M127,L129:M132)</f>
        <v>25536.395419324872</v>
      </c>
      <c r="M133" s="1022"/>
      <c r="N133" s="1021">
        <f>SUM(N124:O127,N129:O132)</f>
        <v>110955.63809696655</v>
      </c>
      <c r="O133" s="1022"/>
      <c r="P133" s="1021">
        <f>SUM(P124:Q127,P129:Q132)</f>
        <v>1331467.6571635988</v>
      </c>
      <c r="Q133" s="1023"/>
    </row>
    <row r="134" spans="1:17" s="326" customFormat="1" ht="35.25" x14ac:dyDescent="0.25">
      <c r="A134" s="325"/>
      <c r="B134" s="1028" t="s">
        <v>249</v>
      </c>
      <c r="C134" s="1029"/>
      <c r="D134" s="1029"/>
      <c r="E134" s="1029"/>
      <c r="F134" s="1029"/>
      <c r="G134" s="1029"/>
      <c r="H134" s="1029"/>
      <c r="I134" s="1029"/>
      <c r="J134" s="1029"/>
      <c r="K134" s="1029"/>
      <c r="L134" s="1043">
        <f>SUM(L61,L94,L109,L121,L133)</f>
        <v>49992.907877230726</v>
      </c>
      <c r="M134" s="1044"/>
      <c r="N134" s="1043">
        <f>SUM(N61,N94,N109,N121,N133)</f>
        <v>217219.18472656747</v>
      </c>
      <c r="O134" s="1044"/>
      <c r="P134" s="1043">
        <f>SUM(P61,P94,P109,P121,P133)</f>
        <v>2606630.2167188097</v>
      </c>
      <c r="Q134" s="1045"/>
    </row>
    <row r="135" spans="1:17" x14ac:dyDescent="0.25">
      <c r="B135" s="201"/>
      <c r="C135" s="200"/>
      <c r="D135" s="200"/>
      <c r="E135" s="200"/>
      <c r="F135" s="200"/>
      <c r="G135" s="200"/>
      <c r="H135" s="200"/>
      <c r="I135" s="200"/>
      <c r="J135" s="200"/>
      <c r="K135" s="200"/>
      <c r="L135" s="237"/>
      <c r="M135" s="238"/>
      <c r="N135" s="237"/>
      <c r="O135" s="238"/>
      <c r="P135" s="237"/>
      <c r="Q135" s="239"/>
    </row>
    <row r="136" spans="1:17" x14ac:dyDescent="0.25">
      <c r="B136" s="201"/>
      <c r="C136" s="202" t="s">
        <v>250</v>
      </c>
      <c r="D136" s="200"/>
      <c r="E136" s="200"/>
      <c r="F136" s="200"/>
      <c r="G136" s="200"/>
      <c r="H136" s="200"/>
      <c r="I136" s="200"/>
      <c r="J136" s="200"/>
      <c r="K136" s="200"/>
      <c r="L136" s="237"/>
      <c r="M136" s="238"/>
      <c r="N136" s="237"/>
      <c r="O136" s="238"/>
      <c r="P136" s="237"/>
      <c r="Q136" s="239"/>
    </row>
    <row r="137" spans="1:17" x14ac:dyDescent="0.25">
      <c r="B137" s="210"/>
      <c r="C137" s="207"/>
      <c r="D137" s="208" t="s">
        <v>251</v>
      </c>
      <c r="E137" s="209" t="str">
        <f>'Insumos e serviços'!D115</f>
        <v xml:space="preserve">Materiais de laboratório </v>
      </c>
      <c r="F137" s="207"/>
      <c r="G137" s="207"/>
      <c r="H137" s="207"/>
      <c r="I137" s="207"/>
      <c r="J137" s="207"/>
      <c r="K137" s="207"/>
      <c r="L137" s="984"/>
      <c r="M137" s="985"/>
      <c r="N137" s="984"/>
      <c r="O137" s="985"/>
      <c r="P137" s="984"/>
      <c r="Q137" s="986"/>
    </row>
    <row r="138" spans="1:17" x14ac:dyDescent="0.25">
      <c r="B138" s="210"/>
      <c r="C138" s="207"/>
      <c r="D138" s="207" t="s">
        <v>252</v>
      </c>
      <c r="E138" s="207" t="str">
        <f>'Insumos e serviços'!D116</f>
        <v xml:space="preserve">Diluente </v>
      </c>
      <c r="F138" s="207"/>
      <c r="G138" s="207"/>
      <c r="H138" s="207"/>
      <c r="I138" s="207"/>
      <c r="J138" s="207"/>
      <c r="K138" s="207"/>
      <c r="L138" s="984">
        <f>'Insumos e serviços'!H116*'Insumos e serviços'!F116</f>
        <v>258.85284603145493</v>
      </c>
      <c r="M138" s="985"/>
      <c r="N138" s="984">
        <f>L138*4.345</f>
        <v>1124.7156160066716</v>
      </c>
      <c r="O138" s="985"/>
      <c r="P138" s="984">
        <f>N138*12</f>
        <v>13496.587392080059</v>
      </c>
      <c r="Q138" s="986"/>
    </row>
    <row r="139" spans="1:17" x14ac:dyDescent="0.25">
      <c r="B139" s="210"/>
      <c r="C139" s="207"/>
      <c r="D139" s="207" t="s">
        <v>253</v>
      </c>
      <c r="E139" s="207" t="str">
        <f>'Insumos e serviços'!D117</f>
        <v xml:space="preserve">Água destilada </v>
      </c>
      <c r="F139" s="207"/>
      <c r="G139" s="207"/>
      <c r="H139" s="207"/>
      <c r="I139" s="207"/>
      <c r="J139" s="207"/>
      <c r="K139" s="207"/>
      <c r="L139" s="984">
        <f>'Insumos e serviços'!H117*'Insumos e serviços'!F117</f>
        <v>182.26796808772238</v>
      </c>
      <c r="M139" s="985"/>
      <c r="N139" s="984">
        <f>L139*4.345</f>
        <v>791.95432134115367</v>
      </c>
      <c r="O139" s="985"/>
      <c r="P139" s="984">
        <f>N139*12</f>
        <v>9503.451856093845</v>
      </c>
      <c r="Q139" s="986"/>
    </row>
    <row r="140" spans="1:17" x14ac:dyDescent="0.25">
      <c r="B140" s="210"/>
      <c r="C140" s="207"/>
      <c r="D140" s="207" t="s">
        <v>254</v>
      </c>
      <c r="E140" s="207" t="str">
        <f>'Insumos e serviços'!D118</f>
        <v xml:space="preserve">Lâmina </v>
      </c>
      <c r="F140" s="207"/>
      <c r="G140" s="207"/>
      <c r="H140" s="207"/>
      <c r="I140" s="207"/>
      <c r="J140" s="207"/>
      <c r="K140" s="207"/>
      <c r="L140" s="984">
        <f>'Insumos e serviços'!H118*'Insumos e serviços'!F118</f>
        <v>1.2573301568012383</v>
      </c>
      <c r="M140" s="985"/>
      <c r="N140" s="984">
        <f>L140*4.345</f>
        <v>5.4630995313013804</v>
      </c>
      <c r="O140" s="985"/>
      <c r="P140" s="984">
        <f>N140*12</f>
        <v>65.557194375616561</v>
      </c>
      <c r="Q140" s="986"/>
    </row>
    <row r="141" spans="1:17" x14ac:dyDescent="0.25">
      <c r="B141" s="210"/>
      <c r="C141" s="207"/>
      <c r="D141" s="207" t="s">
        <v>255</v>
      </c>
      <c r="E141" s="207" t="str">
        <f>'Insumos e serviços'!D119</f>
        <v xml:space="preserve">Filtro para coleta de sêmen </v>
      </c>
      <c r="F141" s="207"/>
      <c r="G141" s="207"/>
      <c r="H141" s="207"/>
      <c r="I141" s="207"/>
      <c r="J141" s="207"/>
      <c r="K141" s="207"/>
      <c r="L141" s="984">
        <f>'Insumos e serviços'!H119*'Insumos e serviços'!F119</f>
        <v>1.3022348052584252</v>
      </c>
      <c r="M141" s="985"/>
      <c r="N141" s="984">
        <f>L141*4.345</f>
        <v>5.6582102288478566</v>
      </c>
      <c r="O141" s="985"/>
      <c r="P141" s="984">
        <f>N141*12</f>
        <v>67.89852274617428</v>
      </c>
      <c r="Q141" s="986"/>
    </row>
    <row r="142" spans="1:17" x14ac:dyDescent="0.25">
      <c r="B142" s="210"/>
      <c r="C142" s="207"/>
      <c r="D142" s="207" t="s">
        <v>256</v>
      </c>
      <c r="E142" s="207" t="str">
        <f>'Insumos e serviços'!D120</f>
        <v xml:space="preserve">Copo descartável de coleta </v>
      </c>
      <c r="F142" s="207"/>
      <c r="G142" s="207"/>
      <c r="H142" s="207"/>
      <c r="I142" s="207"/>
      <c r="J142" s="207"/>
      <c r="K142" s="207"/>
      <c r="L142" s="984">
        <f>'Insumos e serviços'!H120*'Insumos e serviços'!F120</f>
        <v>0.85318832068655448</v>
      </c>
      <c r="M142" s="985"/>
      <c r="N142" s="984">
        <f>L142*4.345</f>
        <v>3.707103253383079</v>
      </c>
      <c r="O142" s="985"/>
      <c r="P142" s="984">
        <f>N142*12</f>
        <v>44.485239040596952</v>
      </c>
      <c r="Q142" s="986"/>
    </row>
    <row r="143" spans="1:17" x14ac:dyDescent="0.25">
      <c r="B143" s="210"/>
      <c r="C143" s="207"/>
      <c r="D143" s="208" t="s">
        <v>257</v>
      </c>
      <c r="E143" s="209" t="s">
        <v>258</v>
      </c>
      <c r="F143" s="207"/>
      <c r="G143" s="207"/>
      <c r="H143" s="207"/>
      <c r="I143" s="207"/>
      <c r="J143" s="207"/>
      <c r="K143" s="207"/>
      <c r="L143" s="984"/>
      <c r="M143" s="985"/>
      <c r="N143" s="984"/>
      <c r="O143" s="985"/>
      <c r="P143" s="984"/>
      <c r="Q143" s="986"/>
    </row>
    <row r="144" spans="1:17" x14ac:dyDescent="0.25">
      <c r="B144" s="210"/>
      <c r="C144" s="207"/>
      <c r="D144" s="207" t="s">
        <v>814</v>
      </c>
      <c r="E144" s="207" t="str">
        <f>'Insumos e serviços'!D123</f>
        <v>Dose de sêmen para marrãs</v>
      </c>
      <c r="F144" s="207"/>
      <c r="G144" s="207"/>
      <c r="H144" s="207"/>
      <c r="I144" s="207"/>
      <c r="J144" s="207"/>
      <c r="K144" s="207"/>
      <c r="L144" s="984">
        <f>'Insumos e serviços'!H123*'Insumos e serviços'!F123</f>
        <v>692.85896630136983</v>
      </c>
      <c r="M144" s="985"/>
      <c r="N144" s="984">
        <f>L144*4.345</f>
        <v>3010.4722085794519</v>
      </c>
      <c r="O144" s="985"/>
      <c r="P144" s="984">
        <f>N144*12</f>
        <v>36125.66650295342</v>
      </c>
      <c r="Q144" s="986"/>
    </row>
    <row r="145" spans="1:17" x14ac:dyDescent="0.25">
      <c r="B145" s="210"/>
      <c r="C145" s="207"/>
      <c r="D145" s="207" t="s">
        <v>815</v>
      </c>
      <c r="E145" s="207" t="str">
        <f>'Insumos e serviços'!D124</f>
        <v>Dose de sêmen para porcas</v>
      </c>
      <c r="F145" s="207"/>
      <c r="G145" s="207"/>
      <c r="H145" s="207"/>
      <c r="I145" s="207"/>
      <c r="J145" s="207"/>
      <c r="K145" s="207"/>
      <c r="L145" s="984">
        <f>'Insumos e serviços'!H124*'Insumos e serviços'!F124</f>
        <v>3101.8182312697381</v>
      </c>
      <c r="M145" s="985"/>
      <c r="N145" s="984">
        <f>L145*4.345</f>
        <v>13477.400214867012</v>
      </c>
      <c r="O145" s="985"/>
      <c r="P145" s="984">
        <f>N145*12</f>
        <v>161728.80257840414</v>
      </c>
      <c r="Q145" s="986"/>
    </row>
    <row r="146" spans="1:17" x14ac:dyDescent="0.25">
      <c r="B146" s="210"/>
      <c r="C146" s="207"/>
      <c r="D146" s="208" t="s">
        <v>259</v>
      </c>
      <c r="E146" s="209" t="s">
        <v>260</v>
      </c>
      <c r="F146" s="207"/>
      <c r="G146" s="207"/>
      <c r="H146" s="207"/>
      <c r="I146" s="207"/>
      <c r="J146" s="207"/>
      <c r="K146" s="240"/>
      <c r="L146" s="984"/>
      <c r="M146" s="985"/>
      <c r="N146" s="984"/>
      <c r="O146" s="985"/>
      <c r="P146" s="984"/>
      <c r="Q146" s="986"/>
    </row>
    <row r="147" spans="1:17" x14ac:dyDescent="0.25">
      <c r="B147" s="210"/>
      <c r="C147" s="207"/>
      <c r="D147" s="207"/>
      <c r="E147" s="233" t="str">
        <f>'Insumos e serviços'!D127</f>
        <v xml:space="preserve">Marrã </v>
      </c>
      <c r="F147" s="207"/>
      <c r="G147" s="207"/>
      <c r="H147" s="207"/>
      <c r="I147" s="207"/>
      <c r="J147" s="207"/>
      <c r="K147" s="240"/>
      <c r="L147" s="984"/>
      <c r="M147" s="985"/>
      <c r="N147" s="984"/>
      <c r="O147" s="985"/>
      <c r="P147" s="984"/>
      <c r="Q147" s="986"/>
    </row>
    <row r="148" spans="1:17" x14ac:dyDescent="0.25">
      <c r="B148" s="210"/>
      <c r="C148" s="207"/>
      <c r="D148" s="207" t="s">
        <v>262</v>
      </c>
      <c r="E148" s="207" t="str">
        <f>'Insumos e serviços'!D128</f>
        <v>Pipeta convencional</v>
      </c>
      <c r="F148" s="207"/>
      <c r="G148" s="207"/>
      <c r="H148" s="207"/>
      <c r="I148" s="207"/>
      <c r="J148" s="207"/>
      <c r="K148" s="240"/>
      <c r="L148" s="984">
        <f>'Insumos e serviços'!F128*'Insumos e serviços'!H128</f>
        <v>18.933036164383559</v>
      </c>
      <c r="M148" s="985"/>
      <c r="N148" s="984">
        <f>L148*4.345</f>
        <v>82.264042134246552</v>
      </c>
      <c r="O148" s="985"/>
      <c r="P148" s="984">
        <f>N148*12</f>
        <v>987.16850561095862</v>
      </c>
      <c r="Q148" s="986"/>
    </row>
    <row r="149" spans="1:17" x14ac:dyDescent="0.25">
      <c r="B149" s="210"/>
      <c r="C149" s="207"/>
      <c r="D149" s="207" t="s">
        <v>263</v>
      </c>
      <c r="E149" s="207" t="str">
        <f>'Insumos e serviços'!D129</f>
        <v>Pipeta intra-uterina</v>
      </c>
      <c r="F149" s="207"/>
      <c r="G149" s="207"/>
      <c r="H149" s="207"/>
      <c r="I149" s="207"/>
      <c r="J149" s="207"/>
      <c r="K149" s="240"/>
      <c r="L149" s="984">
        <f>'Insumos e serviços'!F129*'Insumos e serviços'!H129</f>
        <v>30.428093835616441</v>
      </c>
      <c r="M149" s="985"/>
      <c r="N149" s="984">
        <f>L149*4.345</f>
        <v>132.21006771575344</v>
      </c>
      <c r="O149" s="985"/>
      <c r="P149" s="984">
        <f>N149*12</f>
        <v>1586.5208125890413</v>
      </c>
      <c r="Q149" s="986"/>
    </row>
    <row r="150" spans="1:17" x14ac:dyDescent="0.25">
      <c r="B150" s="210"/>
      <c r="C150" s="207"/>
      <c r="D150" s="207" t="s">
        <v>264</v>
      </c>
      <c r="E150" s="207" t="str">
        <f>'Insumos e serviços'!D130</f>
        <v>Bisnaga convencional</v>
      </c>
      <c r="F150" s="207"/>
      <c r="G150" s="207"/>
      <c r="H150" s="207"/>
      <c r="I150" s="207"/>
      <c r="J150" s="207"/>
      <c r="K150" s="240"/>
      <c r="L150" s="984">
        <f>'Insumos e serviços'!F130*'Insumos e serviços'!H130</f>
        <v>16.228316712328766</v>
      </c>
      <c r="M150" s="985"/>
      <c r="N150" s="984">
        <f>L150*4.345</f>
        <v>70.512036115068483</v>
      </c>
      <c r="O150" s="985"/>
      <c r="P150" s="984">
        <f>N150*12</f>
        <v>846.14443338082174</v>
      </c>
      <c r="Q150" s="986"/>
    </row>
    <row r="151" spans="1:17" x14ac:dyDescent="0.25">
      <c r="B151" s="210"/>
      <c r="C151" s="207"/>
      <c r="D151" s="207" t="s">
        <v>265</v>
      </c>
      <c r="E151" s="207" t="str">
        <f>'Insumos e serviços'!D131</f>
        <v xml:space="preserve">Bisnaga intra-uterina </v>
      </c>
      <c r="F151" s="207"/>
      <c r="G151" s="207"/>
      <c r="H151" s="207"/>
      <c r="I151" s="207"/>
      <c r="J151" s="207"/>
      <c r="K151" s="240"/>
      <c r="L151" s="984">
        <f>'Insumos e serviços'!F131*'Insumos e serviços'!H131</f>
        <v>16.228316712328766</v>
      </c>
      <c r="M151" s="985"/>
      <c r="N151" s="984">
        <f>L151*4.345</f>
        <v>70.512036115068483</v>
      </c>
      <c r="O151" s="985"/>
      <c r="P151" s="984">
        <f>N151*12</f>
        <v>846.14443338082174</v>
      </c>
      <c r="Q151" s="986"/>
    </row>
    <row r="152" spans="1:17" x14ac:dyDescent="0.25">
      <c r="B152" s="210"/>
      <c r="C152" s="207"/>
      <c r="D152" s="207"/>
      <c r="E152" s="233" t="str">
        <f>'Insumos e serviços'!D132</f>
        <v>Porca</v>
      </c>
      <c r="F152" s="207"/>
      <c r="G152" s="207"/>
      <c r="H152" s="207"/>
      <c r="I152" s="207"/>
      <c r="J152" s="207"/>
      <c r="K152" s="240"/>
      <c r="L152" s="984"/>
      <c r="M152" s="985"/>
      <c r="N152" s="984"/>
      <c r="O152" s="985"/>
      <c r="P152" s="984"/>
      <c r="Q152" s="986"/>
    </row>
    <row r="153" spans="1:17" x14ac:dyDescent="0.25">
      <c r="B153" s="210"/>
      <c r="C153" s="207"/>
      <c r="D153" s="207" t="s">
        <v>266</v>
      </c>
      <c r="E153" s="207" t="str">
        <f>'Insumos e serviços'!D133</f>
        <v>Pipeta intra-uterina</v>
      </c>
      <c r="F153" s="207"/>
      <c r="G153" s="207"/>
      <c r="H153" s="207"/>
      <c r="I153" s="207"/>
      <c r="J153" s="207"/>
      <c r="K153" s="240"/>
      <c r="L153" s="984">
        <f>'Insumos e serviços'!F133*'Insumos e serviços'!H133</f>
        <v>272.44337099636607</v>
      </c>
      <c r="M153" s="985"/>
      <c r="N153" s="984">
        <f>L153*4.345</f>
        <v>1183.7664469792105</v>
      </c>
      <c r="O153" s="985"/>
      <c r="P153" s="984">
        <f>N153*12</f>
        <v>14205.197363750525</v>
      </c>
      <c r="Q153" s="986"/>
    </row>
    <row r="154" spans="1:17" x14ac:dyDescent="0.25">
      <c r="B154" s="210"/>
      <c r="C154" s="207"/>
      <c r="D154" s="207" t="s">
        <v>267</v>
      </c>
      <c r="E154" s="207" t="str">
        <f>'Insumos e serviços'!D134</f>
        <v>Bisnaga intra-urerina</v>
      </c>
      <c r="F154" s="207"/>
      <c r="G154" s="207"/>
      <c r="H154" s="207"/>
      <c r="I154" s="207"/>
      <c r="J154" s="207"/>
      <c r="K154" s="240"/>
      <c r="L154" s="984">
        <f>'Insumos e serviços'!F134*'Insumos e serviços'!H134</f>
        <v>145.30313119806189</v>
      </c>
      <c r="M154" s="985"/>
      <c r="N154" s="984">
        <f>L154*4.345</f>
        <v>631.34210505557883</v>
      </c>
      <c r="O154" s="985"/>
      <c r="P154" s="984">
        <f>N154*12</f>
        <v>7576.1052606669455</v>
      </c>
      <c r="Q154" s="986"/>
    </row>
    <row r="155" spans="1:17" s="326" customFormat="1" ht="35.25" x14ac:dyDescent="0.25">
      <c r="A155" s="325"/>
      <c r="B155" s="1028" t="s">
        <v>268</v>
      </c>
      <c r="C155" s="1029"/>
      <c r="D155" s="1029"/>
      <c r="E155" s="1029"/>
      <c r="F155" s="1029"/>
      <c r="G155" s="1029"/>
      <c r="H155" s="1029"/>
      <c r="I155" s="1029"/>
      <c r="J155" s="1029"/>
      <c r="K155" s="1042"/>
      <c r="L155" s="1043">
        <f>SUM(L138:M142,L144,L145,L148:M151,L153,L154)</f>
        <v>4738.7750305921172</v>
      </c>
      <c r="M155" s="1044"/>
      <c r="N155" s="1043">
        <f>SUM(N138:O142,N144,N145,N148:O151,N153,N154)</f>
        <v>20589.977507922751</v>
      </c>
      <c r="O155" s="1044"/>
      <c r="P155" s="1043">
        <f>SUM(P138:Q142,P144,P145,P148:Q151,P153,P154)</f>
        <v>247079.73009507297</v>
      </c>
      <c r="Q155" s="1045"/>
    </row>
    <row r="156" spans="1:17" x14ac:dyDescent="0.25">
      <c r="B156" s="201"/>
      <c r="C156" s="200"/>
      <c r="D156" s="200"/>
      <c r="E156" s="200"/>
      <c r="F156" s="200"/>
      <c r="G156" s="200"/>
      <c r="H156" s="200"/>
      <c r="I156" s="200"/>
      <c r="J156" s="200"/>
      <c r="K156" s="241"/>
      <c r="L156" s="237"/>
      <c r="M156" s="229"/>
      <c r="N156" s="237"/>
      <c r="O156" s="229"/>
      <c r="P156" s="237"/>
      <c r="Q156" s="239"/>
    </row>
    <row r="157" spans="1:17" x14ac:dyDescent="0.25">
      <c r="B157" s="201"/>
      <c r="C157" s="249" t="s">
        <v>696</v>
      </c>
      <c r="D157" s="200"/>
      <c r="E157" s="200"/>
      <c r="F157" s="200"/>
      <c r="G157" s="200"/>
      <c r="H157" s="200"/>
      <c r="I157" s="200"/>
      <c r="J157" s="200"/>
      <c r="K157" s="241"/>
      <c r="L157" s="237"/>
      <c r="M157" s="229"/>
      <c r="N157" s="237"/>
      <c r="O157" s="229"/>
      <c r="P157" s="237"/>
      <c r="Q157" s="239"/>
    </row>
    <row r="158" spans="1:17" x14ac:dyDescent="0.25">
      <c r="B158" s="206"/>
      <c r="C158" s="203"/>
      <c r="D158" s="203" t="s">
        <v>645</v>
      </c>
      <c r="E158" s="203" t="str">
        <f>'Insumos e serviços'!D40</f>
        <v>Luvas de procedimento (caixa c/ 100)</v>
      </c>
      <c r="F158" s="203"/>
      <c r="G158" s="203"/>
      <c r="H158" s="203"/>
      <c r="I158" s="203"/>
      <c r="J158" s="203"/>
      <c r="K158" s="260"/>
      <c r="L158" s="1000">
        <f>('Insumos e serviços'!F40*'Insumos e serviços'!G40)/4.345</f>
        <v>20.911392405063292</v>
      </c>
      <c r="M158" s="1015"/>
      <c r="N158" s="1000">
        <f t="shared" ref="N158:N168" si="0">L158*4.345</f>
        <v>90.86</v>
      </c>
      <c r="O158" s="1015"/>
      <c r="P158" s="1000">
        <f>N158*12</f>
        <v>1090.32</v>
      </c>
      <c r="Q158" s="1001"/>
    </row>
    <row r="159" spans="1:17" x14ac:dyDescent="0.25">
      <c r="B159" s="206"/>
      <c r="C159" s="203"/>
      <c r="D159" s="203" t="s">
        <v>646</v>
      </c>
      <c r="E159" s="203" t="str">
        <f>'Insumos e serviços'!D41</f>
        <v>Luva nitrílica (caixa c/ 100)</v>
      </c>
      <c r="F159" s="203"/>
      <c r="G159" s="203"/>
      <c r="H159" s="203"/>
      <c r="I159" s="203"/>
      <c r="J159" s="203"/>
      <c r="K159" s="260"/>
      <c r="L159" s="1000">
        <f>('Insumos e serviços'!F41*'Insumos e serviços'!G41)/4.345</f>
        <v>10.455696202531646</v>
      </c>
      <c r="M159" s="1015"/>
      <c r="N159" s="1000">
        <f t="shared" si="0"/>
        <v>45.43</v>
      </c>
      <c r="O159" s="1015"/>
      <c r="P159" s="1000">
        <f t="shared" ref="P159:P168" si="1">N159*12</f>
        <v>545.16</v>
      </c>
      <c r="Q159" s="1001"/>
    </row>
    <row r="160" spans="1:17" x14ac:dyDescent="0.25">
      <c r="B160" s="206"/>
      <c r="C160" s="203"/>
      <c r="D160" s="203" t="s">
        <v>738</v>
      </c>
      <c r="E160" s="203" t="str">
        <f>'Insumos e serviços'!D42</f>
        <v>Agulhas 40x12 (unidade)</v>
      </c>
      <c r="F160" s="203"/>
      <c r="G160" s="203"/>
      <c r="H160" s="203"/>
      <c r="I160" s="203"/>
      <c r="J160" s="203"/>
      <c r="K160" s="260"/>
      <c r="L160" s="1000">
        <f>('Insumos e serviços'!F42*'Insumos e serviços'!G42)/4.345</f>
        <v>21.026332014439522</v>
      </c>
      <c r="M160" s="1015"/>
      <c r="N160" s="1000">
        <f t="shared" si="0"/>
        <v>91.35941260273971</v>
      </c>
      <c r="O160" s="1015"/>
      <c r="P160" s="1000">
        <f t="shared" si="1"/>
        <v>1096.3129512328765</v>
      </c>
      <c r="Q160" s="1001"/>
    </row>
    <row r="161" spans="2:17" x14ac:dyDescent="0.25">
      <c r="B161" s="206"/>
      <c r="C161" s="203"/>
      <c r="D161" s="203" t="s">
        <v>739</v>
      </c>
      <c r="E161" s="203" t="str">
        <f>'Insumos e serviços'!D43</f>
        <v>Seringa 10ml (unidade)</v>
      </c>
      <c r="F161" s="203"/>
      <c r="G161" s="203"/>
      <c r="H161" s="203"/>
      <c r="I161" s="203"/>
      <c r="J161" s="203"/>
      <c r="K161" s="260"/>
      <c r="L161" s="1000">
        <f>('Insumos e serviços'!F43*'Insumos e serviços'!G43)/4.345</f>
        <v>19.919682961047968</v>
      </c>
      <c r="M161" s="1015"/>
      <c r="N161" s="1000">
        <f t="shared" si="0"/>
        <v>86.55102246575342</v>
      </c>
      <c r="O161" s="1015"/>
      <c r="P161" s="1000">
        <f t="shared" si="1"/>
        <v>1038.612269589041</v>
      </c>
      <c r="Q161" s="1001"/>
    </row>
    <row r="162" spans="2:17" x14ac:dyDescent="0.25">
      <c r="B162" s="206"/>
      <c r="C162" s="203"/>
      <c r="D162" s="203" t="s">
        <v>740</v>
      </c>
      <c r="E162" s="203" t="str">
        <f>'Insumos e serviços'!D44</f>
        <v xml:space="preserve">Bastão marcador </v>
      </c>
      <c r="F162" s="203"/>
      <c r="G162" s="203"/>
      <c r="H162" s="203"/>
      <c r="I162" s="203"/>
      <c r="J162" s="203"/>
      <c r="K162" s="260"/>
      <c r="L162" s="1000">
        <f>('Insumos e serviços'!F44*'Insumos e serviços'!G44)/4.345</f>
        <v>12.225546605293442</v>
      </c>
      <c r="M162" s="1015"/>
      <c r="N162" s="1000">
        <f t="shared" si="0"/>
        <v>53.12</v>
      </c>
      <c r="O162" s="1015"/>
      <c r="P162" s="1000">
        <f t="shared" si="1"/>
        <v>637.43999999999994</v>
      </c>
      <c r="Q162" s="1001"/>
    </row>
    <row r="163" spans="2:17" x14ac:dyDescent="0.25">
      <c r="B163" s="206"/>
      <c r="C163" s="203"/>
      <c r="D163" s="203" t="s">
        <v>741</v>
      </c>
      <c r="E163" s="203" t="str">
        <f>'Insumos e serviços'!D45</f>
        <v>MoscaZum</v>
      </c>
      <c r="F163" s="203"/>
      <c r="G163" s="203"/>
      <c r="H163" s="203"/>
      <c r="I163" s="203"/>
      <c r="J163" s="203"/>
      <c r="K163" s="260"/>
      <c r="L163" s="1000">
        <f>('Insumos e serviços'!F45*'Insumos e serviços'!G45)/4.345</f>
        <v>6.3337169159953977</v>
      </c>
      <c r="M163" s="1015"/>
      <c r="N163" s="1000">
        <f t="shared" si="0"/>
        <v>27.52</v>
      </c>
      <c r="O163" s="1015"/>
      <c r="P163" s="1000">
        <f t="shared" si="1"/>
        <v>330.24</v>
      </c>
      <c r="Q163" s="1001"/>
    </row>
    <row r="164" spans="2:17" x14ac:dyDescent="0.25">
      <c r="B164" s="206"/>
      <c r="C164" s="203"/>
      <c r="D164" s="203" t="s">
        <v>742</v>
      </c>
      <c r="E164" s="203" t="str">
        <f>'Insumos e serviços'!D46</f>
        <v xml:space="preserve">Controle de roedores </v>
      </c>
      <c r="F164" s="203"/>
      <c r="G164" s="203"/>
      <c r="H164" s="203"/>
      <c r="I164" s="203"/>
      <c r="J164" s="203"/>
      <c r="K164" s="260"/>
      <c r="L164" s="1000">
        <f>('Insumos e serviços'!F46*'Insumos e serviços'!G46)/4.345</f>
        <v>22.37054085155351</v>
      </c>
      <c r="M164" s="1015"/>
      <c r="N164" s="1000">
        <f t="shared" si="0"/>
        <v>97.2</v>
      </c>
      <c r="O164" s="1015"/>
      <c r="P164" s="1000">
        <f t="shared" si="1"/>
        <v>1166.4000000000001</v>
      </c>
      <c r="Q164" s="1001"/>
    </row>
    <row r="165" spans="2:17" x14ac:dyDescent="0.25">
      <c r="B165" s="206"/>
      <c r="C165" s="203"/>
      <c r="D165" s="203" t="s">
        <v>743</v>
      </c>
      <c r="E165" s="203" t="str">
        <f>'Insumos e serviços'!D47</f>
        <v>Terracam</v>
      </c>
      <c r="F165" s="203"/>
      <c r="G165" s="203"/>
      <c r="H165" s="203"/>
      <c r="I165" s="203"/>
      <c r="J165" s="203"/>
      <c r="K165" s="260"/>
      <c r="L165" s="1000">
        <f>('Insumos e serviços'!F47*'Insumos e serviços'!G47)/4.345</f>
        <v>7.8250863060989646</v>
      </c>
      <c r="M165" s="1015"/>
      <c r="N165" s="1000">
        <f t="shared" si="0"/>
        <v>34</v>
      </c>
      <c r="O165" s="1015"/>
      <c r="P165" s="1000">
        <f t="shared" si="1"/>
        <v>408</v>
      </c>
      <c r="Q165" s="1001"/>
    </row>
    <row r="166" spans="2:17" x14ac:dyDescent="0.25">
      <c r="B166" s="206"/>
      <c r="C166" s="203"/>
      <c r="D166" s="203" t="s">
        <v>744</v>
      </c>
      <c r="E166" s="203" t="str">
        <f>'Insumos e serviços'!D48</f>
        <v xml:space="preserve">Bens de consumo </v>
      </c>
      <c r="F166" s="203"/>
      <c r="G166" s="203"/>
      <c r="H166" s="203"/>
      <c r="I166" s="203"/>
      <c r="J166" s="203"/>
      <c r="K166" s="260"/>
      <c r="L166" s="1000">
        <f>('Insumos e serviços'!F48*'Insumos e serviços'!G48)/4.345</f>
        <v>0</v>
      </c>
      <c r="M166" s="1015"/>
      <c r="N166" s="1000">
        <f t="shared" si="0"/>
        <v>0</v>
      </c>
      <c r="O166" s="1015"/>
      <c r="P166" s="1000">
        <f t="shared" si="1"/>
        <v>0</v>
      </c>
      <c r="Q166" s="1001"/>
    </row>
    <row r="167" spans="2:17" x14ac:dyDescent="0.25">
      <c r="B167" s="206"/>
      <c r="C167" s="203"/>
      <c r="D167" s="203" t="s">
        <v>745</v>
      </c>
      <c r="E167" s="203" t="str">
        <f>'Insumos e serviços'!D49</f>
        <v xml:space="preserve">Bens de consumo </v>
      </c>
      <c r="F167" s="203"/>
      <c r="G167" s="203"/>
      <c r="H167" s="203"/>
      <c r="I167" s="203"/>
      <c r="J167" s="203"/>
      <c r="K167" s="260"/>
      <c r="L167" s="1000">
        <f>('Insumos e serviços'!F49*'Insumos e serviços'!G49)/4.345</f>
        <v>0</v>
      </c>
      <c r="M167" s="1015"/>
      <c r="N167" s="1000">
        <f t="shared" si="0"/>
        <v>0</v>
      </c>
      <c r="O167" s="1015"/>
      <c r="P167" s="1000">
        <f t="shared" si="1"/>
        <v>0</v>
      </c>
      <c r="Q167" s="1001"/>
    </row>
    <row r="168" spans="2:17" x14ac:dyDescent="0.25">
      <c r="B168" s="206"/>
      <c r="C168" s="203"/>
      <c r="D168" s="203" t="s">
        <v>746</v>
      </c>
      <c r="E168" s="203" t="str">
        <f>'Insumos e serviços'!D50</f>
        <v xml:space="preserve">Bens de consumo </v>
      </c>
      <c r="F168" s="203"/>
      <c r="G168" s="203"/>
      <c r="H168" s="203"/>
      <c r="I168" s="203"/>
      <c r="J168" s="203"/>
      <c r="K168" s="260"/>
      <c r="L168" s="1000">
        <f>('Insumos e serviços'!F50*'Insumos e serviços'!G50)/4.345</f>
        <v>0</v>
      </c>
      <c r="M168" s="1015"/>
      <c r="N168" s="1000">
        <f t="shared" si="0"/>
        <v>0</v>
      </c>
      <c r="O168" s="1015"/>
      <c r="P168" s="1000">
        <f t="shared" si="1"/>
        <v>0</v>
      </c>
      <c r="Q168" s="1001"/>
    </row>
    <row r="169" spans="2:17" ht="57.75" customHeight="1" x14ac:dyDescent="0.25">
      <c r="B169" s="1034" t="s">
        <v>827</v>
      </c>
      <c r="C169" s="1035"/>
      <c r="D169" s="1035"/>
      <c r="E169" s="1035"/>
      <c r="F169" s="1035"/>
      <c r="G169" s="1035"/>
      <c r="H169" s="1035"/>
      <c r="I169" s="1035"/>
      <c r="J169" s="1035"/>
      <c r="K169" s="1035"/>
      <c r="L169" s="992">
        <f>SUM(L158:M168)</f>
        <v>121.06799426202375</v>
      </c>
      <c r="M169" s="993"/>
      <c r="N169" s="992">
        <f>SUM(N158:O168)</f>
        <v>526.04043506849303</v>
      </c>
      <c r="O169" s="993"/>
      <c r="P169" s="992">
        <f>SUM(P158:Q168)</f>
        <v>6312.4852208219163</v>
      </c>
      <c r="Q169" s="994"/>
    </row>
    <row r="170" spans="2:17" x14ac:dyDescent="0.25">
      <c r="B170" s="210"/>
      <c r="C170" s="207"/>
      <c r="D170" s="207" t="s">
        <v>747</v>
      </c>
      <c r="E170" s="207" t="str">
        <f>'Insumos e serviços'!D151</f>
        <v>Luvas de procedimento (caixa c/ 100)</v>
      </c>
      <c r="F170" s="207"/>
      <c r="G170" s="207"/>
      <c r="H170" s="207"/>
      <c r="I170" s="207"/>
      <c r="J170" s="207"/>
      <c r="K170" s="240"/>
      <c r="L170" s="984">
        <f>('Insumos e serviços'!F151*'Insumos e serviços'!G151)/4.345</f>
        <v>52.278481012658233</v>
      </c>
      <c r="M170" s="985"/>
      <c r="N170" s="984">
        <f t="shared" ref="N170:N180" si="2">L170*4.345</f>
        <v>227.15</v>
      </c>
      <c r="O170" s="985"/>
      <c r="P170" s="984">
        <f>N170*12</f>
        <v>2725.8</v>
      </c>
      <c r="Q170" s="986"/>
    </row>
    <row r="171" spans="2:17" x14ac:dyDescent="0.25">
      <c r="B171" s="210"/>
      <c r="C171" s="207"/>
      <c r="D171" s="207" t="s">
        <v>748</v>
      </c>
      <c r="E171" s="207" t="str">
        <f>'Insumos e serviços'!D152</f>
        <v>Luva nitrílica (caixa c/ 100)</v>
      </c>
      <c r="F171" s="207"/>
      <c r="G171" s="207"/>
      <c r="H171" s="207"/>
      <c r="I171" s="207"/>
      <c r="J171" s="207"/>
      <c r="K171" s="240"/>
      <c r="L171" s="984">
        <f>('Insumos e serviços'!F152*'Insumos e serviços'!G152)/4.345</f>
        <v>10.455696202531646</v>
      </c>
      <c r="M171" s="985"/>
      <c r="N171" s="984">
        <f t="shared" si="2"/>
        <v>45.43</v>
      </c>
      <c r="O171" s="985"/>
      <c r="P171" s="984">
        <f t="shared" ref="P171:P180" si="3">N171*12</f>
        <v>545.16</v>
      </c>
      <c r="Q171" s="986"/>
    </row>
    <row r="172" spans="2:17" x14ac:dyDescent="0.25">
      <c r="B172" s="210"/>
      <c r="C172" s="207"/>
      <c r="D172" s="207" t="s">
        <v>749</v>
      </c>
      <c r="E172" s="207" t="str">
        <f>'Insumos e serviços'!D153</f>
        <v>Luva de toque (caixa c/ 100)</v>
      </c>
      <c r="F172" s="207"/>
      <c r="G172" s="207"/>
      <c r="H172" s="207"/>
      <c r="I172" s="207"/>
      <c r="J172" s="207"/>
      <c r="K172" s="240"/>
      <c r="L172" s="984">
        <f>('Insumos e serviços'!F153*'Insumos e serviços'!G153)/4.345</f>
        <v>22.250863060989648</v>
      </c>
      <c r="M172" s="985"/>
      <c r="N172" s="984">
        <f t="shared" si="2"/>
        <v>96.680000000000021</v>
      </c>
      <c r="O172" s="985"/>
      <c r="P172" s="984">
        <f t="shared" si="3"/>
        <v>1160.1600000000003</v>
      </c>
      <c r="Q172" s="986"/>
    </row>
    <row r="173" spans="2:17" x14ac:dyDescent="0.25">
      <c r="B173" s="210"/>
      <c r="C173" s="207"/>
      <c r="D173" s="207" t="s">
        <v>750</v>
      </c>
      <c r="E173" s="207" t="str">
        <f>'Insumos e serviços'!D154</f>
        <v>Agulha 40x12 (unidades)</v>
      </c>
      <c r="F173" s="207"/>
      <c r="G173" s="207"/>
      <c r="H173" s="207"/>
      <c r="I173" s="207"/>
      <c r="J173" s="207"/>
      <c r="K173" s="240"/>
      <c r="L173" s="984">
        <f>('Insumos e serviços'!F154*'Insumos e serviços'!G154)/4.345</f>
        <v>132.05776367913865</v>
      </c>
      <c r="M173" s="985"/>
      <c r="N173" s="984">
        <f t="shared" si="2"/>
        <v>573.79098318585739</v>
      </c>
      <c r="O173" s="985"/>
      <c r="P173" s="984">
        <f t="shared" si="3"/>
        <v>6885.4917982302886</v>
      </c>
      <c r="Q173" s="986"/>
    </row>
    <row r="174" spans="2:17" x14ac:dyDescent="0.25">
      <c r="B174" s="210"/>
      <c r="C174" s="207"/>
      <c r="D174" s="207" t="s">
        <v>751</v>
      </c>
      <c r="E174" s="207" t="str">
        <f>'Insumos e serviços'!D155</f>
        <v>Seringa 10 ml (caixa c/ 500)</v>
      </c>
      <c r="F174" s="207"/>
      <c r="G174" s="207"/>
      <c r="H174" s="207"/>
      <c r="I174" s="207"/>
      <c r="J174" s="207"/>
      <c r="K174" s="240"/>
      <c r="L174" s="984">
        <f>('Insumos e serviços'!F155*'Insumos e serviços'!G155)/4.345</f>
        <v>500.42942025778848</v>
      </c>
      <c r="M174" s="985"/>
      <c r="N174" s="984">
        <f t="shared" si="2"/>
        <v>2174.3658310200908</v>
      </c>
      <c r="O174" s="985"/>
      <c r="P174" s="984">
        <f t="shared" si="3"/>
        <v>26092.38997224109</v>
      </c>
      <c r="Q174" s="986"/>
    </row>
    <row r="175" spans="2:17" x14ac:dyDescent="0.25">
      <c r="B175" s="210"/>
      <c r="C175" s="207"/>
      <c r="D175" s="207" t="s">
        <v>752</v>
      </c>
      <c r="E175" s="207" t="str">
        <f>'Insumos e serviços'!D156</f>
        <v xml:space="preserve">Bastão marcador </v>
      </c>
      <c r="F175" s="207"/>
      <c r="G175" s="207"/>
      <c r="H175" s="207"/>
      <c r="I175" s="207"/>
      <c r="J175" s="207"/>
      <c r="K175" s="240"/>
      <c r="L175" s="984">
        <f>('Insumos e serviços'!F156*'Insumos e serviços'!G156)/4.345</f>
        <v>61.127733026467197</v>
      </c>
      <c r="M175" s="985"/>
      <c r="N175" s="984">
        <f t="shared" si="2"/>
        <v>265.59999999999997</v>
      </c>
      <c r="O175" s="985"/>
      <c r="P175" s="984">
        <f t="shared" si="3"/>
        <v>3187.2</v>
      </c>
      <c r="Q175" s="986"/>
    </row>
    <row r="176" spans="2:17" x14ac:dyDescent="0.25">
      <c r="B176" s="210"/>
      <c r="C176" s="207"/>
      <c r="D176" s="207" t="s">
        <v>753</v>
      </c>
      <c r="E176" s="207" t="str">
        <f>'Insumos e serviços'!D157</f>
        <v>MoscaZum</v>
      </c>
      <c r="F176" s="207"/>
      <c r="G176" s="207"/>
      <c r="H176" s="207"/>
      <c r="I176" s="207"/>
      <c r="J176" s="207"/>
      <c r="K176" s="240"/>
      <c r="L176" s="984">
        <f>('Insumos e serviços'!F157*'Insumos e serviços'!G157)/4.345</f>
        <v>31.668584579976987</v>
      </c>
      <c r="M176" s="985"/>
      <c r="N176" s="984">
        <f t="shared" si="2"/>
        <v>137.6</v>
      </c>
      <c r="O176" s="985"/>
      <c r="P176" s="984">
        <f t="shared" si="3"/>
        <v>1651.1999999999998</v>
      </c>
      <c r="Q176" s="986"/>
    </row>
    <row r="177" spans="2:17" x14ac:dyDescent="0.25">
      <c r="B177" s="210"/>
      <c r="C177" s="207"/>
      <c r="D177" s="207" t="s">
        <v>754</v>
      </c>
      <c r="E177" s="207" t="str">
        <f>'Insumos e serviços'!D158</f>
        <v xml:space="preserve">Controle de roedores </v>
      </c>
      <c r="F177" s="207"/>
      <c r="G177" s="207"/>
      <c r="H177" s="207"/>
      <c r="I177" s="207"/>
      <c r="J177" s="207"/>
      <c r="K177" s="240"/>
      <c r="L177" s="984">
        <f>('Insumos e serviços'!F158*'Insumos e serviços'!G158)/4.345</f>
        <v>111.85270425776756</v>
      </c>
      <c r="M177" s="985"/>
      <c r="N177" s="984">
        <f t="shared" si="2"/>
        <v>486</v>
      </c>
      <c r="O177" s="985"/>
      <c r="P177" s="984">
        <f t="shared" si="3"/>
        <v>5832</v>
      </c>
      <c r="Q177" s="986"/>
    </row>
    <row r="178" spans="2:17" x14ac:dyDescent="0.25">
      <c r="B178" s="210"/>
      <c r="C178" s="207"/>
      <c r="D178" s="207" t="s">
        <v>755</v>
      </c>
      <c r="E178" s="207" t="str">
        <f>'Insumos e serviços'!D159</f>
        <v xml:space="preserve">Lepecid </v>
      </c>
      <c r="F178" s="207"/>
      <c r="G178" s="207"/>
      <c r="H178" s="207"/>
      <c r="I178" s="207"/>
      <c r="J178" s="207"/>
      <c r="K178" s="240"/>
      <c r="L178" s="984">
        <f>('Insumos e serviços'!F159*'Insumos e serviços'!G159)/4.345</f>
        <v>0</v>
      </c>
      <c r="M178" s="985"/>
      <c r="N178" s="984">
        <f t="shared" si="2"/>
        <v>0</v>
      </c>
      <c r="O178" s="985"/>
      <c r="P178" s="984">
        <f t="shared" si="3"/>
        <v>0</v>
      </c>
      <c r="Q178" s="986"/>
    </row>
    <row r="179" spans="2:17" x14ac:dyDescent="0.25">
      <c r="B179" s="210"/>
      <c r="C179" s="207"/>
      <c r="D179" s="207" t="s">
        <v>756</v>
      </c>
      <c r="E179" s="207" t="str">
        <f>'Insumos e serviços'!D160</f>
        <v>Terracam</v>
      </c>
      <c r="F179" s="207"/>
      <c r="G179" s="207"/>
      <c r="H179" s="207"/>
      <c r="I179" s="207"/>
      <c r="J179" s="207"/>
      <c r="K179" s="240"/>
      <c r="L179" s="984">
        <f>('Insumos e serviços'!F160*'Insumos e serviços'!G160)/4.345</f>
        <v>31.300345224395858</v>
      </c>
      <c r="M179" s="985"/>
      <c r="N179" s="984">
        <f t="shared" si="2"/>
        <v>136</v>
      </c>
      <c r="O179" s="985"/>
      <c r="P179" s="984">
        <f t="shared" si="3"/>
        <v>1632</v>
      </c>
      <c r="Q179" s="986"/>
    </row>
    <row r="180" spans="2:17" x14ac:dyDescent="0.25">
      <c r="B180" s="210"/>
      <c r="C180" s="207"/>
      <c r="D180" s="207" t="s">
        <v>757</v>
      </c>
      <c r="E180" s="207" t="str">
        <f>'Insumos e serviços'!D161</f>
        <v xml:space="preserve">Bens de consumo </v>
      </c>
      <c r="F180" s="207"/>
      <c r="G180" s="207"/>
      <c r="H180" s="207"/>
      <c r="I180" s="207"/>
      <c r="J180" s="207"/>
      <c r="K180" s="240"/>
      <c r="L180" s="984">
        <f>('Insumos e serviços'!F161*'Insumos e serviços'!G161)/4.345</f>
        <v>0</v>
      </c>
      <c r="M180" s="985"/>
      <c r="N180" s="984">
        <f t="shared" si="2"/>
        <v>0</v>
      </c>
      <c r="O180" s="985"/>
      <c r="P180" s="984">
        <f t="shared" si="3"/>
        <v>0</v>
      </c>
      <c r="Q180" s="986"/>
    </row>
    <row r="181" spans="2:17" ht="65.25" customHeight="1" x14ac:dyDescent="0.25">
      <c r="B181" s="1036" t="s">
        <v>828</v>
      </c>
      <c r="C181" s="1037"/>
      <c r="D181" s="1037"/>
      <c r="E181" s="1037"/>
      <c r="F181" s="1037"/>
      <c r="G181" s="1037"/>
      <c r="H181" s="1037"/>
      <c r="I181" s="1037"/>
      <c r="J181" s="1037"/>
      <c r="K181" s="1037"/>
      <c r="L181" s="995">
        <f>SUM(L170:M180)</f>
        <v>953.42159130171422</v>
      </c>
      <c r="M181" s="996"/>
      <c r="N181" s="995">
        <f>SUM(N170:O180)</f>
        <v>4142.6168142059478</v>
      </c>
      <c r="O181" s="996"/>
      <c r="P181" s="995">
        <f>SUM(P170:Q180)</f>
        <v>49711.401770471377</v>
      </c>
      <c r="Q181" s="997"/>
    </row>
    <row r="182" spans="2:17" x14ac:dyDescent="0.25">
      <c r="B182" s="214"/>
      <c r="C182" s="211"/>
      <c r="D182" s="211" t="s">
        <v>758</v>
      </c>
      <c r="E182" s="211" t="str">
        <f>'Insumos e serviços'!D215</f>
        <v>Luvas de procedimento (caixa c/ 100)</v>
      </c>
      <c r="F182" s="211"/>
      <c r="G182" s="211"/>
      <c r="H182" s="211"/>
      <c r="I182" s="211"/>
      <c r="J182" s="211"/>
      <c r="K182" s="261"/>
      <c r="L182" s="1010">
        <f>('Insumos e serviços'!F215*'Insumos e serviços'!G215)/4.345</f>
        <v>125.46835443037975</v>
      </c>
      <c r="M182" s="1016"/>
      <c r="N182" s="1010">
        <f t="shared" ref="N182:N192" si="4">L182*4.345</f>
        <v>545.16</v>
      </c>
      <c r="O182" s="1016"/>
      <c r="P182" s="1010">
        <f>N182*12</f>
        <v>6541.92</v>
      </c>
      <c r="Q182" s="1011"/>
    </row>
    <row r="183" spans="2:17" x14ac:dyDescent="0.25">
      <c r="B183" s="214"/>
      <c r="C183" s="211"/>
      <c r="D183" s="211" t="s">
        <v>759</v>
      </c>
      <c r="E183" s="211" t="str">
        <f>'Insumos e serviços'!D216</f>
        <v>Luva nitrílica (caixa c/ 100)</v>
      </c>
      <c r="F183" s="211"/>
      <c r="G183" s="211"/>
      <c r="H183" s="211"/>
      <c r="I183" s="211"/>
      <c r="J183" s="211"/>
      <c r="K183" s="261"/>
      <c r="L183" s="1010">
        <f>('Insumos e serviços'!F216*'Insumos e serviços'!G216)/4.345</f>
        <v>20.911392405063292</v>
      </c>
      <c r="M183" s="1016"/>
      <c r="N183" s="1010">
        <f t="shared" si="4"/>
        <v>90.86</v>
      </c>
      <c r="O183" s="1016"/>
      <c r="P183" s="1010">
        <f t="shared" ref="P183:P192" si="5">N183*12</f>
        <v>1090.32</v>
      </c>
      <c r="Q183" s="1011"/>
    </row>
    <row r="184" spans="2:17" x14ac:dyDescent="0.25">
      <c r="B184" s="214"/>
      <c r="C184" s="211"/>
      <c r="D184" s="211" t="s">
        <v>760</v>
      </c>
      <c r="E184" s="211" t="str">
        <f>'Insumos e serviços'!D217</f>
        <v>Luva de toque (caixa c/ 100)</v>
      </c>
      <c r="F184" s="211"/>
      <c r="G184" s="211"/>
      <c r="H184" s="211"/>
      <c r="I184" s="211"/>
      <c r="J184" s="211"/>
      <c r="K184" s="261"/>
      <c r="L184" s="1010">
        <f>('Insumos e serviços'!F217*'Insumos e serviços'!G217)/4.345</f>
        <v>44.501726121979296</v>
      </c>
      <c r="M184" s="1016"/>
      <c r="N184" s="1010">
        <f t="shared" si="4"/>
        <v>193.36000000000004</v>
      </c>
      <c r="O184" s="1016"/>
      <c r="P184" s="1010">
        <f t="shared" si="5"/>
        <v>2320.3200000000006</v>
      </c>
      <c r="Q184" s="1011"/>
    </row>
    <row r="185" spans="2:17" x14ac:dyDescent="0.25">
      <c r="B185" s="214"/>
      <c r="C185" s="211"/>
      <c r="D185" s="211" t="s">
        <v>761</v>
      </c>
      <c r="E185" s="211" t="str">
        <f>'Insumos e serviços'!D218</f>
        <v>Agulhas 40x12 (unidade)</v>
      </c>
      <c r="F185" s="211"/>
      <c r="G185" s="211"/>
      <c r="H185" s="211"/>
      <c r="I185" s="211"/>
      <c r="J185" s="211"/>
      <c r="K185" s="261"/>
      <c r="L185" s="1010">
        <f>('Insumos e serviços'!F218*'Insumos e serviços'!G218)/4.345</f>
        <v>11.447063854772701</v>
      </c>
      <c r="M185" s="1016"/>
      <c r="N185" s="1010">
        <f t="shared" si="4"/>
        <v>49.737492448987382</v>
      </c>
      <c r="O185" s="1016"/>
      <c r="P185" s="1010">
        <f t="shared" si="5"/>
        <v>596.84990938784858</v>
      </c>
      <c r="Q185" s="1011"/>
    </row>
    <row r="186" spans="2:17" x14ac:dyDescent="0.25">
      <c r="B186" s="214"/>
      <c r="C186" s="211"/>
      <c r="D186" s="211" t="s">
        <v>762</v>
      </c>
      <c r="E186" s="211" t="str">
        <f>'Insumos e serviços'!D219</f>
        <v>Agulhas 30x08 (unidade)</v>
      </c>
      <c r="F186" s="211"/>
      <c r="G186" s="211"/>
      <c r="H186" s="211"/>
      <c r="I186" s="211"/>
      <c r="J186" s="211"/>
      <c r="K186" s="261"/>
      <c r="L186" s="1010">
        <f>('Insumos e serviços'!F219*'Insumos e serviços'!G219)/4.345</f>
        <v>385.78894826048224</v>
      </c>
      <c r="M186" s="1016"/>
      <c r="N186" s="1010">
        <f t="shared" si="4"/>
        <v>1676.2529801917954</v>
      </c>
      <c r="O186" s="1016"/>
      <c r="P186" s="1010">
        <f t="shared" si="5"/>
        <v>20115.035762301544</v>
      </c>
      <c r="Q186" s="1011"/>
    </row>
    <row r="187" spans="2:17" x14ac:dyDescent="0.25">
      <c r="B187" s="214"/>
      <c r="C187" s="211"/>
      <c r="D187" s="211" t="s">
        <v>763</v>
      </c>
      <c r="E187" s="211" t="str">
        <f>'Insumos e serviços'!D220</f>
        <v>Agulha inox 20x10</v>
      </c>
      <c r="F187" s="211"/>
      <c r="G187" s="211"/>
      <c r="H187" s="211"/>
      <c r="I187" s="211"/>
      <c r="J187" s="211"/>
      <c r="K187" s="261"/>
      <c r="L187" s="1010">
        <f>('Insumos e serviços'!F220*'Insumos e serviços'!G220)/4.345</f>
        <v>18.614499424626008</v>
      </c>
      <c r="M187" s="1016"/>
      <c r="N187" s="1010">
        <f t="shared" si="4"/>
        <v>80.88</v>
      </c>
      <c r="O187" s="1016"/>
      <c r="P187" s="1010">
        <f t="shared" si="5"/>
        <v>970.56</v>
      </c>
      <c r="Q187" s="1011"/>
    </row>
    <row r="188" spans="2:17" x14ac:dyDescent="0.25">
      <c r="B188" s="214"/>
      <c r="C188" s="211"/>
      <c r="D188" s="211" t="s">
        <v>764</v>
      </c>
      <c r="E188" s="211" t="str">
        <f>'Insumos e serviços'!D221</f>
        <v>Seringa 3 ml</v>
      </c>
      <c r="F188" s="211"/>
      <c r="G188" s="211"/>
      <c r="H188" s="211"/>
      <c r="I188" s="211"/>
      <c r="J188" s="211"/>
      <c r="K188" s="261"/>
      <c r="L188" s="1010">
        <f>('Insumos e serviços'!F221*'Insumos e serviços'!G221)/4.345</f>
        <v>462.94673791257867</v>
      </c>
      <c r="M188" s="1016"/>
      <c r="N188" s="1010">
        <f t="shared" si="4"/>
        <v>2011.5035762301543</v>
      </c>
      <c r="O188" s="1016"/>
      <c r="P188" s="1010">
        <f t="shared" si="5"/>
        <v>24138.042914761852</v>
      </c>
      <c r="Q188" s="1011"/>
    </row>
    <row r="189" spans="2:17" x14ac:dyDescent="0.25">
      <c r="B189" s="214"/>
      <c r="C189" s="211"/>
      <c r="D189" s="211" t="s">
        <v>765</v>
      </c>
      <c r="E189" s="211" t="str">
        <f>'Insumos e serviços'!D222</f>
        <v xml:space="preserve">Bastão marcador </v>
      </c>
      <c r="F189" s="211"/>
      <c r="G189" s="211"/>
      <c r="H189" s="211"/>
      <c r="I189" s="211"/>
      <c r="J189" s="211"/>
      <c r="K189" s="261"/>
      <c r="L189" s="1010">
        <f>('Insumos e serviços'!F222*'Insumos e serviços'!G222)/4.345</f>
        <v>97.804372842347533</v>
      </c>
      <c r="M189" s="1016"/>
      <c r="N189" s="1010">
        <f t="shared" si="4"/>
        <v>424.96</v>
      </c>
      <c r="O189" s="1016"/>
      <c r="P189" s="1010">
        <f t="shared" si="5"/>
        <v>5099.5199999999995</v>
      </c>
      <c r="Q189" s="1011"/>
    </row>
    <row r="190" spans="2:17" x14ac:dyDescent="0.25">
      <c r="B190" s="214"/>
      <c r="C190" s="211"/>
      <c r="D190" s="211" t="s">
        <v>766</v>
      </c>
      <c r="E190" s="211" t="str">
        <f>'Insumos e serviços'!D223</f>
        <v>MoscaZum</v>
      </c>
      <c r="F190" s="211"/>
      <c r="G190" s="211"/>
      <c r="H190" s="211"/>
      <c r="I190" s="211"/>
      <c r="J190" s="211"/>
      <c r="K190" s="261"/>
      <c r="L190" s="1010">
        <f>('Insumos e serviços'!F223*'Insumos e serviços'!G223)/4.345</f>
        <v>31.668584579976987</v>
      </c>
      <c r="M190" s="1016"/>
      <c r="N190" s="1010">
        <f t="shared" si="4"/>
        <v>137.6</v>
      </c>
      <c r="O190" s="1016"/>
      <c r="P190" s="1010">
        <f t="shared" si="5"/>
        <v>1651.1999999999998</v>
      </c>
      <c r="Q190" s="1011"/>
    </row>
    <row r="191" spans="2:17" x14ac:dyDescent="0.25">
      <c r="B191" s="214"/>
      <c r="C191" s="211"/>
      <c r="D191" s="211" t="s">
        <v>767</v>
      </c>
      <c r="E191" s="211" t="str">
        <f>'Insumos e serviços'!D224</f>
        <v xml:space="preserve">Controle de roedores </v>
      </c>
      <c r="F191" s="211"/>
      <c r="G191" s="211"/>
      <c r="H191" s="211"/>
      <c r="I191" s="211"/>
      <c r="J191" s="211"/>
      <c r="K191" s="261"/>
      <c r="L191" s="1010">
        <f>('Insumos e serviços'!F224*'Insumos e serviços'!G224)/4.345</f>
        <v>55.926352128883778</v>
      </c>
      <c r="M191" s="1016"/>
      <c r="N191" s="1010">
        <f t="shared" si="4"/>
        <v>243</v>
      </c>
      <c r="O191" s="1016"/>
      <c r="P191" s="1010">
        <f t="shared" si="5"/>
        <v>2916</v>
      </c>
      <c r="Q191" s="1011"/>
    </row>
    <row r="192" spans="2:17" x14ac:dyDescent="0.25">
      <c r="B192" s="214"/>
      <c r="C192" s="211"/>
      <c r="D192" s="211" t="s">
        <v>768</v>
      </c>
      <c r="E192" s="211" t="str">
        <f>'Insumos e serviços'!D225</f>
        <v xml:space="preserve">Lepecid </v>
      </c>
      <c r="F192" s="211"/>
      <c r="G192" s="211"/>
      <c r="H192" s="211"/>
      <c r="I192" s="211"/>
      <c r="J192" s="211"/>
      <c r="K192" s="261"/>
      <c r="L192" s="1010">
        <f>('Insumos e serviços'!F225*'Insumos e serviços'!G225)/4.345</f>
        <v>0</v>
      </c>
      <c r="M192" s="1016"/>
      <c r="N192" s="1010">
        <f t="shared" si="4"/>
        <v>0</v>
      </c>
      <c r="O192" s="1016"/>
      <c r="P192" s="1010">
        <f t="shared" si="5"/>
        <v>0</v>
      </c>
      <c r="Q192" s="1011"/>
    </row>
    <row r="193" spans="2:17" ht="55.5" customHeight="1" x14ac:dyDescent="0.25">
      <c r="B193" s="1038" t="s">
        <v>829</v>
      </c>
      <c r="C193" s="1039"/>
      <c r="D193" s="1039"/>
      <c r="E193" s="1039"/>
      <c r="F193" s="1039"/>
      <c r="G193" s="1039"/>
      <c r="H193" s="1039"/>
      <c r="I193" s="1039"/>
      <c r="J193" s="1039"/>
      <c r="K193" s="1039"/>
      <c r="L193" s="998">
        <f>SUM(L182:M192)</f>
        <v>1255.0780319610903</v>
      </c>
      <c r="M193" s="999"/>
      <c r="N193" s="998">
        <f>SUM(N182:O192)</f>
        <v>5453.3140488709378</v>
      </c>
      <c r="O193" s="999"/>
      <c r="P193" s="998">
        <f>SUM(P182:Q192)</f>
        <v>65439.768586451239</v>
      </c>
      <c r="Q193" s="1027"/>
    </row>
    <row r="194" spans="2:17" x14ac:dyDescent="0.25">
      <c r="B194" s="215"/>
      <c r="C194" s="216"/>
      <c r="D194" s="216" t="s">
        <v>769</v>
      </c>
      <c r="E194" s="216" t="str">
        <f>'Insumos e serviços'!D271</f>
        <v>Luvas de procedimento (caixa c/ 100)</v>
      </c>
      <c r="F194" s="216"/>
      <c r="G194" s="216"/>
      <c r="H194" s="216"/>
      <c r="I194" s="216"/>
      <c r="J194" s="216"/>
      <c r="K194" s="309"/>
      <c r="L194" s="1007">
        <f>('Insumos e serviços'!F271*'Insumos e serviços'!G271)/4.345</f>
        <v>52.278481012658233</v>
      </c>
      <c r="M194" s="1018"/>
      <c r="N194" s="1007">
        <f t="shared" ref="N194:N204" si="6">L194*4.345</f>
        <v>227.15</v>
      </c>
      <c r="O194" s="1018"/>
      <c r="P194" s="1007">
        <f>N194*12</f>
        <v>2725.8</v>
      </c>
      <c r="Q194" s="1008"/>
    </row>
    <row r="195" spans="2:17" x14ac:dyDescent="0.25">
      <c r="B195" s="215"/>
      <c r="C195" s="216"/>
      <c r="D195" s="216" t="s">
        <v>770</v>
      </c>
      <c r="E195" s="216" t="str">
        <f>'Insumos e serviços'!D272</f>
        <v>Luva nitrílica (caixa c/ 100)</v>
      </c>
      <c r="F195" s="216"/>
      <c r="G195" s="216"/>
      <c r="H195" s="216"/>
      <c r="I195" s="216"/>
      <c r="J195" s="216"/>
      <c r="K195" s="309"/>
      <c r="L195" s="1007">
        <f>('Insumos e serviços'!F272*'Insumos e serviços'!G272)/4.345</f>
        <v>31.367088607594937</v>
      </c>
      <c r="M195" s="1018"/>
      <c r="N195" s="1007">
        <f t="shared" si="6"/>
        <v>136.29</v>
      </c>
      <c r="O195" s="1018"/>
      <c r="P195" s="1007">
        <f t="shared" ref="P195:P204" si="7">N195*12</f>
        <v>1635.48</v>
      </c>
      <c r="Q195" s="1008"/>
    </row>
    <row r="196" spans="2:17" x14ac:dyDescent="0.25">
      <c r="B196" s="215"/>
      <c r="C196" s="216"/>
      <c r="D196" s="216" t="s">
        <v>771</v>
      </c>
      <c r="E196" s="216" t="str">
        <f>'Insumos e serviços'!D273</f>
        <v>Agulhas 30x08 (unidade)</v>
      </c>
      <c r="F196" s="216"/>
      <c r="G196" s="216"/>
      <c r="H196" s="216"/>
      <c r="I196" s="216"/>
      <c r="J196" s="216"/>
      <c r="K196" s="309"/>
      <c r="L196" s="1007">
        <f>('Insumos e serviços'!F273*'Insumos e serviços'!G273)/4.345</f>
        <v>94.347740638817228</v>
      </c>
      <c r="M196" s="1018"/>
      <c r="N196" s="1007">
        <f t="shared" si="6"/>
        <v>409.94093307566084</v>
      </c>
      <c r="O196" s="1018"/>
      <c r="P196" s="1007">
        <f t="shared" si="7"/>
        <v>4919.2911969079305</v>
      </c>
      <c r="Q196" s="1008"/>
    </row>
    <row r="197" spans="2:17" x14ac:dyDescent="0.25">
      <c r="B197" s="215"/>
      <c r="C197" s="216"/>
      <c r="D197" s="216" t="s">
        <v>772</v>
      </c>
      <c r="E197" s="216" t="str">
        <f>'Insumos e serviços'!D274</f>
        <v xml:space="preserve">Agulha inox 20x10 </v>
      </c>
      <c r="F197" s="216"/>
      <c r="G197" s="216"/>
      <c r="H197" s="216"/>
      <c r="I197" s="216"/>
      <c r="J197" s="216"/>
      <c r="K197" s="309"/>
      <c r="L197" s="1007">
        <f>('Insumos e serviços'!F274*'Insumos e serviços'!G274)/4.345</f>
        <v>3.8780207134637519</v>
      </c>
      <c r="M197" s="1018"/>
      <c r="N197" s="1007">
        <f t="shared" si="6"/>
        <v>16.850000000000001</v>
      </c>
      <c r="O197" s="1018"/>
      <c r="P197" s="1007">
        <f t="shared" si="7"/>
        <v>202.20000000000002</v>
      </c>
      <c r="Q197" s="1008"/>
    </row>
    <row r="198" spans="2:17" x14ac:dyDescent="0.25">
      <c r="B198" s="215"/>
      <c r="C198" s="216"/>
      <c r="D198" s="216" t="s">
        <v>773</v>
      </c>
      <c r="E198" s="216" t="str">
        <f>'Insumos e serviços'!D275</f>
        <v>Seringa 3 ml (unidade)</v>
      </c>
      <c r="F198" s="216"/>
      <c r="G198" s="216"/>
      <c r="H198" s="216"/>
      <c r="I198" s="216"/>
      <c r="J198" s="216"/>
      <c r="K198" s="309"/>
      <c r="L198" s="1007">
        <f>('Insumos e serviços'!F275*'Insumos e serviços'!G275)/4.345</f>
        <v>226.43457753316133</v>
      </c>
      <c r="M198" s="1018"/>
      <c r="N198" s="1007">
        <f t="shared" si="6"/>
        <v>983.85823938158592</v>
      </c>
      <c r="O198" s="1018"/>
      <c r="P198" s="1007">
        <f t="shared" si="7"/>
        <v>11806.298872579031</v>
      </c>
      <c r="Q198" s="1008"/>
    </row>
    <row r="199" spans="2:17" x14ac:dyDescent="0.25">
      <c r="B199" s="215"/>
      <c r="C199" s="216"/>
      <c r="D199" s="216" t="s">
        <v>774</v>
      </c>
      <c r="E199" s="216" t="str">
        <f>'Insumos e serviços'!D276</f>
        <v xml:space="preserve">Bastão marcador </v>
      </c>
      <c r="F199" s="216"/>
      <c r="G199" s="216"/>
      <c r="H199" s="216"/>
      <c r="I199" s="216"/>
      <c r="J199" s="216"/>
      <c r="K199" s="309"/>
      <c r="L199" s="1007">
        <f>('Insumos e serviços'!F276*'Insumos e serviços'!G276)/4.345</f>
        <v>61.127733026467197</v>
      </c>
      <c r="M199" s="1018"/>
      <c r="N199" s="1007">
        <f t="shared" si="6"/>
        <v>265.59999999999997</v>
      </c>
      <c r="O199" s="1018"/>
      <c r="P199" s="1007">
        <f t="shared" si="7"/>
        <v>3187.2</v>
      </c>
      <c r="Q199" s="1008"/>
    </row>
    <row r="200" spans="2:17" x14ac:dyDescent="0.25">
      <c r="B200" s="215"/>
      <c r="C200" s="216"/>
      <c r="D200" s="216" t="s">
        <v>775</v>
      </c>
      <c r="E200" s="216" t="str">
        <f>'Insumos e serviços'!D277</f>
        <v>MoscaZum</v>
      </c>
      <c r="F200" s="216"/>
      <c r="G200" s="216"/>
      <c r="H200" s="216"/>
      <c r="I200" s="216"/>
      <c r="J200" s="216"/>
      <c r="K200" s="309"/>
      <c r="L200" s="1007">
        <f>('Insumos e serviços'!F277*'Insumos e serviços'!G277)/4.345</f>
        <v>16.626006904487916</v>
      </c>
      <c r="M200" s="1018"/>
      <c r="N200" s="1007">
        <f t="shared" si="6"/>
        <v>72.239999999999995</v>
      </c>
      <c r="O200" s="1018"/>
      <c r="P200" s="1007">
        <f t="shared" si="7"/>
        <v>866.87999999999988</v>
      </c>
      <c r="Q200" s="1008"/>
    </row>
    <row r="201" spans="2:17" x14ac:dyDescent="0.25">
      <c r="B201" s="215"/>
      <c r="C201" s="216"/>
      <c r="D201" s="216" t="s">
        <v>776</v>
      </c>
      <c r="E201" s="216" t="str">
        <f>'Insumos e serviços'!D278</f>
        <v xml:space="preserve">Controle de roedores </v>
      </c>
      <c r="F201" s="216"/>
      <c r="G201" s="216"/>
      <c r="H201" s="216"/>
      <c r="I201" s="216"/>
      <c r="J201" s="216"/>
      <c r="K201" s="309"/>
      <c r="L201" s="1007">
        <f>('Insumos e serviços'!F278*'Insumos e serviços'!G278)/4.345</f>
        <v>117.44533947065594</v>
      </c>
      <c r="M201" s="1018"/>
      <c r="N201" s="1007">
        <f t="shared" si="6"/>
        <v>510.3</v>
      </c>
      <c r="O201" s="1018"/>
      <c r="P201" s="1007">
        <f t="shared" si="7"/>
        <v>6123.6</v>
      </c>
      <c r="Q201" s="1008"/>
    </row>
    <row r="202" spans="2:17" x14ac:dyDescent="0.25">
      <c r="B202" s="215"/>
      <c r="C202" s="216"/>
      <c r="D202" s="216" t="s">
        <v>777</v>
      </c>
      <c r="E202" s="216" t="str">
        <f>'Insumos e serviços'!D279</f>
        <v xml:space="preserve">Lepecid </v>
      </c>
      <c r="F202" s="216"/>
      <c r="G202" s="216"/>
      <c r="H202" s="216"/>
      <c r="I202" s="216"/>
      <c r="J202" s="216"/>
      <c r="K202" s="309"/>
      <c r="L202" s="1007">
        <f>('Insumos e serviços'!F279*'Insumos e serviços'!G279)/4.345</f>
        <v>0</v>
      </c>
      <c r="M202" s="1018"/>
      <c r="N202" s="1007">
        <f t="shared" si="6"/>
        <v>0</v>
      </c>
      <c r="O202" s="1018"/>
      <c r="P202" s="1007">
        <f t="shared" si="7"/>
        <v>0</v>
      </c>
      <c r="Q202" s="1008"/>
    </row>
    <row r="203" spans="2:17" x14ac:dyDescent="0.25">
      <c r="B203" s="215"/>
      <c r="C203" s="216"/>
      <c r="D203" s="216" t="s">
        <v>778</v>
      </c>
      <c r="E203" s="216" t="str">
        <f>'Insumos e serviços'!D280</f>
        <v>Terracam</v>
      </c>
      <c r="F203" s="216"/>
      <c r="G203" s="216"/>
      <c r="H203" s="216"/>
      <c r="I203" s="216"/>
      <c r="J203" s="216"/>
      <c r="K203" s="309"/>
      <c r="L203" s="1007">
        <f>('Insumos e serviços'!F280*'Insumos e serviços'!G280)/4.345</f>
        <v>54.775604142692757</v>
      </c>
      <c r="M203" s="1018"/>
      <c r="N203" s="1007">
        <f t="shared" si="6"/>
        <v>238</v>
      </c>
      <c r="O203" s="1018"/>
      <c r="P203" s="1007">
        <f t="shared" si="7"/>
        <v>2856</v>
      </c>
      <c r="Q203" s="1008"/>
    </row>
    <row r="204" spans="2:17" x14ac:dyDescent="0.25">
      <c r="B204" s="215"/>
      <c r="C204" s="216"/>
      <c r="D204" s="216" t="s">
        <v>779</v>
      </c>
      <c r="E204" s="216" t="str">
        <f>'Insumos e serviços'!D281</f>
        <v xml:space="preserve">Bens de consumo </v>
      </c>
      <c r="F204" s="216"/>
      <c r="G204" s="216"/>
      <c r="H204" s="216"/>
      <c r="I204" s="216"/>
      <c r="J204" s="216"/>
      <c r="K204" s="309"/>
      <c r="L204" s="1007">
        <f>('Insumos e serviços'!F281*'Insumos e serviços'!G281)/4.345</f>
        <v>0</v>
      </c>
      <c r="M204" s="1018"/>
      <c r="N204" s="1007">
        <f t="shared" si="6"/>
        <v>0</v>
      </c>
      <c r="O204" s="1018"/>
      <c r="P204" s="1007">
        <f t="shared" si="7"/>
        <v>0</v>
      </c>
      <c r="Q204" s="1008"/>
    </row>
    <row r="205" spans="2:17" ht="60" customHeight="1" x14ac:dyDescent="0.25">
      <c r="B205" s="1040" t="s">
        <v>830</v>
      </c>
      <c r="C205" s="1041"/>
      <c r="D205" s="1041"/>
      <c r="E205" s="1041"/>
      <c r="F205" s="1041"/>
      <c r="G205" s="1041"/>
      <c r="H205" s="1041"/>
      <c r="I205" s="1041"/>
      <c r="J205" s="1041"/>
      <c r="K205" s="1041"/>
      <c r="L205" s="1024">
        <f>SUM(L194:M204)</f>
        <v>658.2805920499992</v>
      </c>
      <c r="M205" s="1025"/>
      <c r="N205" s="1024">
        <f>SUM(N194:O204)</f>
        <v>2860.2291724572465</v>
      </c>
      <c r="O205" s="1025"/>
      <c r="P205" s="1024">
        <f>SUM(P194:Q204)</f>
        <v>34322.750069486967</v>
      </c>
      <c r="Q205" s="1026"/>
    </row>
    <row r="206" spans="2:17" x14ac:dyDescent="0.25">
      <c r="B206" s="219"/>
      <c r="C206" s="220"/>
      <c r="D206" s="220" t="s">
        <v>780</v>
      </c>
      <c r="E206" s="220" t="str">
        <f>'Insumos e serviços'!D327</f>
        <v>Luvas de procedimento (caixa c/ 100)</v>
      </c>
      <c r="F206" s="220"/>
      <c r="G206" s="220"/>
      <c r="H206" s="220"/>
      <c r="I206" s="220"/>
      <c r="J206" s="220"/>
      <c r="K206" s="310"/>
      <c r="L206" s="987">
        <f>('Insumos e serviços'!F327*'Insumos e serviços'!G327)/4.345</f>
        <v>41.822784810126585</v>
      </c>
      <c r="M206" s="1017"/>
      <c r="N206" s="987">
        <f t="shared" ref="N206:N216" si="8">L206*4.345</f>
        <v>181.72</v>
      </c>
      <c r="O206" s="1017"/>
      <c r="P206" s="987">
        <f>N206*12</f>
        <v>2180.64</v>
      </c>
      <c r="Q206" s="988"/>
    </row>
    <row r="207" spans="2:17" x14ac:dyDescent="0.25">
      <c r="B207" s="219"/>
      <c r="C207" s="220"/>
      <c r="D207" s="220" t="s">
        <v>781</v>
      </c>
      <c r="E207" s="220" t="str">
        <f>'Insumos e serviços'!D328</f>
        <v>Luva nitrílica (caixa c/ 100)</v>
      </c>
      <c r="F207" s="220"/>
      <c r="G207" s="220"/>
      <c r="H207" s="220"/>
      <c r="I207" s="220"/>
      <c r="J207" s="220"/>
      <c r="K207" s="310"/>
      <c r="L207" s="987">
        <f>('Insumos e serviços'!F328*'Insumos e serviços'!G328)/4.345</f>
        <v>20.911392405063292</v>
      </c>
      <c r="M207" s="1017"/>
      <c r="N207" s="987">
        <f t="shared" si="8"/>
        <v>90.86</v>
      </c>
      <c r="O207" s="1017"/>
      <c r="P207" s="987">
        <f t="shared" ref="P207:P216" si="9">N207*12</f>
        <v>1090.32</v>
      </c>
      <c r="Q207" s="988"/>
    </row>
    <row r="208" spans="2:17" x14ac:dyDescent="0.25">
      <c r="B208" s="219"/>
      <c r="C208" s="220"/>
      <c r="D208" s="220" t="s">
        <v>782</v>
      </c>
      <c r="E208" s="220" t="str">
        <f>'Insumos e serviços'!D329</f>
        <v>Agulhas 40x12 (unidade)</v>
      </c>
      <c r="F208" s="220"/>
      <c r="G208" s="220"/>
      <c r="H208" s="220"/>
      <c r="I208" s="220"/>
      <c r="J208" s="220"/>
      <c r="K208" s="310"/>
      <c r="L208" s="987">
        <f>('Insumos e serviços'!F329*'Insumos e serviços'!G329)/4.345</f>
        <v>127.80392120804501</v>
      </c>
      <c r="M208" s="1017"/>
      <c r="N208" s="987">
        <f t="shared" si="8"/>
        <v>555.30803764895552</v>
      </c>
      <c r="O208" s="1017"/>
      <c r="P208" s="987">
        <f t="shared" si="9"/>
        <v>6663.6964517874658</v>
      </c>
      <c r="Q208" s="988"/>
    </row>
    <row r="209" spans="2:17" x14ac:dyDescent="0.25">
      <c r="B209" s="219"/>
      <c r="C209" s="220"/>
      <c r="D209" s="220" t="s">
        <v>783</v>
      </c>
      <c r="E209" s="220" t="str">
        <f>'Insumos e serviços'!D330</f>
        <v>Agulha inox 20x10</v>
      </c>
      <c r="F209" s="220"/>
      <c r="G209" s="220"/>
      <c r="H209" s="220"/>
      <c r="I209" s="220"/>
      <c r="J209" s="220"/>
      <c r="K209" s="310"/>
      <c r="L209" s="987">
        <f>('Insumos e serviços'!F330*'Insumos e serviços'!G330)/4.345</f>
        <v>23.268124280782512</v>
      </c>
      <c r="M209" s="1017"/>
      <c r="N209" s="987">
        <f t="shared" si="8"/>
        <v>101.10000000000001</v>
      </c>
      <c r="O209" s="1017"/>
      <c r="P209" s="987">
        <f t="shared" si="9"/>
        <v>1213.2</v>
      </c>
      <c r="Q209" s="988"/>
    </row>
    <row r="210" spans="2:17" x14ac:dyDescent="0.25">
      <c r="B210" s="219"/>
      <c r="C210" s="220"/>
      <c r="D210" s="220" t="s">
        <v>784</v>
      </c>
      <c r="E210" s="220" t="str">
        <f>'Insumos e serviços'!D331</f>
        <v>Seringa 10 ml (unidades)</v>
      </c>
      <c r="F210" s="220"/>
      <c r="G210" s="220"/>
      <c r="H210" s="220"/>
      <c r="I210" s="220"/>
      <c r="J210" s="220"/>
      <c r="K210" s="310"/>
      <c r="L210" s="987">
        <f>('Insumos e serviços'!F331*'Insumos e serviços'!G331)/4.345</f>
        <v>484.30959615680212</v>
      </c>
      <c r="M210" s="1017"/>
      <c r="N210" s="987">
        <f t="shared" si="8"/>
        <v>2104.325195301305</v>
      </c>
      <c r="O210" s="1017"/>
      <c r="P210" s="987">
        <f t="shared" si="9"/>
        <v>25251.90234361566</v>
      </c>
      <c r="Q210" s="988"/>
    </row>
    <row r="211" spans="2:17" x14ac:dyDescent="0.25">
      <c r="B211" s="219"/>
      <c r="C211" s="220"/>
      <c r="D211" s="220" t="s">
        <v>785</v>
      </c>
      <c r="E211" s="220" t="str">
        <f>'Insumos e serviços'!D332</f>
        <v xml:space="preserve">Bastão marcador </v>
      </c>
      <c r="F211" s="220"/>
      <c r="G211" s="220"/>
      <c r="H211" s="220"/>
      <c r="I211" s="220"/>
      <c r="J211" s="220"/>
      <c r="K211" s="310"/>
      <c r="L211" s="987">
        <f>('Insumos e serviços'!F332*'Insumos e serviços'!G332)/4.345</f>
        <v>42.789413118527044</v>
      </c>
      <c r="M211" s="1017"/>
      <c r="N211" s="987">
        <f t="shared" si="8"/>
        <v>185.92</v>
      </c>
      <c r="O211" s="1017"/>
      <c r="P211" s="987">
        <f t="shared" si="9"/>
        <v>2231.04</v>
      </c>
      <c r="Q211" s="988"/>
    </row>
    <row r="212" spans="2:17" x14ac:dyDescent="0.25">
      <c r="B212" s="219"/>
      <c r="C212" s="220"/>
      <c r="D212" s="220" t="s">
        <v>786</v>
      </c>
      <c r="E212" s="220" t="str">
        <f>'Insumos e serviços'!D333</f>
        <v>MoscaZum</v>
      </c>
      <c r="F212" s="220"/>
      <c r="G212" s="220"/>
      <c r="H212" s="220"/>
      <c r="I212" s="220"/>
      <c r="J212" s="220"/>
      <c r="K212" s="310"/>
      <c r="L212" s="987">
        <f>('Insumos e serviços'!F333*'Insumos e serviços'!G333)/4.345</f>
        <v>11.084004602991945</v>
      </c>
      <c r="M212" s="1017"/>
      <c r="N212" s="987">
        <f t="shared" si="8"/>
        <v>48.16</v>
      </c>
      <c r="O212" s="1017"/>
      <c r="P212" s="987">
        <f t="shared" si="9"/>
        <v>577.91999999999996</v>
      </c>
      <c r="Q212" s="988"/>
    </row>
    <row r="213" spans="2:17" x14ac:dyDescent="0.25">
      <c r="B213" s="219"/>
      <c r="C213" s="220"/>
      <c r="D213" s="220" t="s">
        <v>787</v>
      </c>
      <c r="E213" s="220" t="str">
        <f>'Insumos e serviços'!D334</f>
        <v xml:space="preserve">Controle de roedores </v>
      </c>
      <c r="F213" s="220"/>
      <c r="G213" s="220"/>
      <c r="H213" s="220"/>
      <c r="I213" s="220"/>
      <c r="J213" s="220"/>
      <c r="K213" s="310"/>
      <c r="L213" s="987">
        <f>('Insumos e serviços'!F334*'Insumos e serviços'!G334)/4.345</f>
        <v>156.59378596087458</v>
      </c>
      <c r="M213" s="1017"/>
      <c r="N213" s="987">
        <f t="shared" si="8"/>
        <v>680.4</v>
      </c>
      <c r="O213" s="1017"/>
      <c r="P213" s="987">
        <f t="shared" si="9"/>
        <v>8164.7999999999993</v>
      </c>
      <c r="Q213" s="988"/>
    </row>
    <row r="214" spans="2:17" x14ac:dyDescent="0.25">
      <c r="B214" s="219"/>
      <c r="C214" s="220"/>
      <c r="D214" s="220" t="s">
        <v>788</v>
      </c>
      <c r="E214" s="220" t="str">
        <f>'Insumos e serviços'!D335</f>
        <v xml:space="preserve">Lepecid </v>
      </c>
      <c r="F214" s="220"/>
      <c r="G214" s="220"/>
      <c r="H214" s="220"/>
      <c r="I214" s="220"/>
      <c r="J214" s="220"/>
      <c r="K214" s="310"/>
      <c r="L214" s="987">
        <f>('Insumos e serviços'!F335*'Insumos e serviços'!G335)/4.345</f>
        <v>0</v>
      </c>
      <c r="M214" s="1017"/>
      <c r="N214" s="987">
        <f t="shared" si="8"/>
        <v>0</v>
      </c>
      <c r="O214" s="1017"/>
      <c r="P214" s="987">
        <f t="shared" si="9"/>
        <v>0</v>
      </c>
      <c r="Q214" s="988"/>
    </row>
    <row r="215" spans="2:17" x14ac:dyDescent="0.25">
      <c r="B215" s="219"/>
      <c r="C215" s="220"/>
      <c r="D215" s="220" t="s">
        <v>789</v>
      </c>
      <c r="E215" s="220" t="str">
        <f>'Insumos e serviços'!D336</f>
        <v>Terracam</v>
      </c>
      <c r="F215" s="220"/>
      <c r="G215" s="220"/>
      <c r="H215" s="220"/>
      <c r="I215" s="220"/>
      <c r="J215" s="220"/>
      <c r="K215" s="310"/>
      <c r="L215" s="987">
        <f>('Insumos e serviços'!F336*'Insumos e serviços'!G336)/4.345</f>
        <v>109.55120828538551</v>
      </c>
      <c r="M215" s="1017"/>
      <c r="N215" s="987">
        <f t="shared" si="8"/>
        <v>476</v>
      </c>
      <c r="O215" s="1017"/>
      <c r="P215" s="987">
        <f t="shared" si="9"/>
        <v>5712</v>
      </c>
      <c r="Q215" s="988"/>
    </row>
    <row r="216" spans="2:17" x14ac:dyDescent="0.25">
      <c r="B216" s="219"/>
      <c r="C216" s="220"/>
      <c r="D216" s="220" t="s">
        <v>790</v>
      </c>
      <c r="E216" s="220" t="str">
        <f>'Insumos e serviços'!D337</f>
        <v xml:space="preserve">Bens de consumo </v>
      </c>
      <c r="F216" s="220"/>
      <c r="G216" s="220"/>
      <c r="H216" s="220"/>
      <c r="I216" s="220"/>
      <c r="J216" s="220"/>
      <c r="K216" s="310"/>
      <c r="L216" s="987">
        <f>('Insumos e serviços'!F337*'Insumos e serviços'!G337)/4.345</f>
        <v>0</v>
      </c>
      <c r="M216" s="1017"/>
      <c r="N216" s="987">
        <f t="shared" si="8"/>
        <v>0</v>
      </c>
      <c r="O216" s="1017"/>
      <c r="P216" s="987">
        <f t="shared" si="9"/>
        <v>0</v>
      </c>
      <c r="Q216" s="988"/>
    </row>
    <row r="217" spans="2:17" ht="58.5" customHeight="1" x14ac:dyDescent="0.25">
      <c r="B217" s="1030" t="s">
        <v>831</v>
      </c>
      <c r="C217" s="1031"/>
      <c r="D217" s="1031"/>
      <c r="E217" s="1031"/>
      <c r="F217" s="1031"/>
      <c r="G217" s="1031"/>
      <c r="H217" s="1031"/>
      <c r="I217" s="1031"/>
      <c r="J217" s="1031"/>
      <c r="K217" s="1031"/>
      <c r="L217" s="1021">
        <f>SUM(L206:M216)</f>
        <v>1018.1342308285986</v>
      </c>
      <c r="M217" s="1022"/>
      <c r="N217" s="1021">
        <f>SUM(N206:O216)</f>
        <v>4423.7932329502601</v>
      </c>
      <c r="O217" s="1022"/>
      <c r="P217" s="1021">
        <f>SUM(P206:Q216)</f>
        <v>53085.518795403128</v>
      </c>
      <c r="Q217" s="1023"/>
    </row>
    <row r="218" spans="2:17" x14ac:dyDescent="0.25">
      <c r="B218" s="263"/>
      <c r="C218" s="264"/>
      <c r="D218" s="264" t="s">
        <v>817</v>
      </c>
      <c r="E218" s="264" t="str">
        <f>'Insumos e serviços'!D368</f>
        <v>Vancid</v>
      </c>
      <c r="F218" s="264"/>
      <c r="G218" s="264"/>
      <c r="H218" s="264"/>
      <c r="I218" s="264"/>
      <c r="J218" s="264"/>
      <c r="K218" s="311"/>
      <c r="L218" s="989">
        <f>('Insumos e serviços'!F368*'Insumos e serviços'!G368)/4.345</f>
        <v>667.43383199079403</v>
      </c>
      <c r="M218" s="991"/>
      <c r="N218" s="989">
        <f t="shared" ref="N218:N227" si="10">L218*4.345</f>
        <v>2900</v>
      </c>
      <c r="O218" s="991"/>
      <c r="P218" s="989">
        <f>N218*12</f>
        <v>34800</v>
      </c>
      <c r="Q218" s="990"/>
    </row>
    <row r="219" spans="2:17" x14ac:dyDescent="0.25">
      <c r="B219" s="263"/>
      <c r="C219" s="264"/>
      <c r="D219" s="264" t="s">
        <v>818</v>
      </c>
      <c r="E219" s="264" t="str">
        <f>'Insumos e serviços'!D369</f>
        <v xml:space="preserve">Desinfetante convencional </v>
      </c>
      <c r="F219" s="264"/>
      <c r="G219" s="264"/>
      <c r="H219" s="264"/>
      <c r="I219" s="264"/>
      <c r="J219" s="264"/>
      <c r="K219" s="311"/>
      <c r="L219" s="989">
        <f>('Insumos e serviços'!F369*'Insumos e serviços'!G369)/4.345</f>
        <v>94.24626006904488</v>
      </c>
      <c r="M219" s="991"/>
      <c r="N219" s="989">
        <f t="shared" si="10"/>
        <v>409.5</v>
      </c>
      <c r="O219" s="991"/>
      <c r="P219" s="989">
        <f t="shared" ref="P219:P227" si="11">N219*12</f>
        <v>4914</v>
      </c>
      <c r="Q219" s="990"/>
    </row>
    <row r="220" spans="2:17" x14ac:dyDescent="0.25">
      <c r="B220" s="263"/>
      <c r="C220" s="264"/>
      <c r="D220" s="264" t="s">
        <v>819</v>
      </c>
      <c r="E220" s="264" t="str">
        <f>'Insumos e serviços'!D370</f>
        <v xml:space="preserve">Detergente </v>
      </c>
      <c r="F220" s="264"/>
      <c r="G220" s="264"/>
      <c r="H220" s="264"/>
      <c r="I220" s="264"/>
      <c r="J220" s="264"/>
      <c r="K220" s="311"/>
      <c r="L220" s="989">
        <f>('Insumos e serviços'!F370*'Insumos e serviços'!G370)/4.345</f>
        <v>176.89298043728425</v>
      </c>
      <c r="M220" s="991"/>
      <c r="N220" s="989">
        <f t="shared" si="10"/>
        <v>768.6</v>
      </c>
      <c r="O220" s="991"/>
      <c r="P220" s="989">
        <f t="shared" si="11"/>
        <v>9223.2000000000007</v>
      </c>
      <c r="Q220" s="990"/>
    </row>
    <row r="221" spans="2:17" x14ac:dyDescent="0.25">
      <c r="B221" s="263"/>
      <c r="C221" s="264"/>
      <c r="D221" s="264" t="s">
        <v>820</v>
      </c>
      <c r="E221" s="264" t="str">
        <f>'Insumos e serviços'!D371</f>
        <v>Sabonete</v>
      </c>
      <c r="F221" s="264"/>
      <c r="G221" s="264"/>
      <c r="H221" s="264"/>
      <c r="I221" s="264"/>
      <c r="J221" s="264"/>
      <c r="K221" s="311"/>
      <c r="L221" s="989">
        <f>('Insumos e serviços'!F371*'Insumos e serviços'!G371)/4.345</f>
        <v>727.66398158803236</v>
      </c>
      <c r="M221" s="991"/>
      <c r="N221" s="989">
        <f t="shared" si="10"/>
        <v>3161.7000000000003</v>
      </c>
      <c r="O221" s="991"/>
      <c r="P221" s="989">
        <f t="shared" si="11"/>
        <v>37940.400000000001</v>
      </c>
      <c r="Q221" s="990"/>
    </row>
    <row r="222" spans="2:17" x14ac:dyDescent="0.25">
      <c r="B222" s="263"/>
      <c r="C222" s="264"/>
      <c r="D222" s="264" t="s">
        <v>821</v>
      </c>
      <c r="E222" s="264" t="str">
        <f>'Insumos e serviços'!D372</f>
        <v xml:space="preserve">Saco de lixo </v>
      </c>
      <c r="F222" s="264"/>
      <c r="G222" s="264"/>
      <c r="H222" s="264"/>
      <c r="I222" s="264"/>
      <c r="J222" s="264"/>
      <c r="K222" s="311"/>
      <c r="L222" s="989">
        <f>('Insumos e serviços'!F372*'Insumos e serviços'!G372)/4.345</f>
        <v>44.879171461449943</v>
      </c>
      <c r="M222" s="991"/>
      <c r="N222" s="989">
        <f t="shared" si="10"/>
        <v>195</v>
      </c>
      <c r="O222" s="991"/>
      <c r="P222" s="989">
        <f t="shared" si="11"/>
        <v>2340</v>
      </c>
      <c r="Q222" s="990"/>
    </row>
    <row r="223" spans="2:17" x14ac:dyDescent="0.25">
      <c r="B223" s="263"/>
      <c r="C223" s="264"/>
      <c r="D223" s="264" t="s">
        <v>822</v>
      </c>
      <c r="E223" s="264" t="str">
        <f>'Insumos e serviços'!D373</f>
        <v>Descarte perfurocortante</v>
      </c>
      <c r="F223" s="264"/>
      <c r="G223" s="264"/>
      <c r="H223" s="264"/>
      <c r="I223" s="264"/>
      <c r="J223" s="264"/>
      <c r="K223" s="311"/>
      <c r="L223" s="989">
        <f>('Insumos e serviços'!F373*'Insumos e serviços'!G373)/4.345</f>
        <v>52.363636363636367</v>
      </c>
      <c r="M223" s="991"/>
      <c r="N223" s="989">
        <f t="shared" si="10"/>
        <v>227.52</v>
      </c>
      <c r="O223" s="991"/>
      <c r="P223" s="989">
        <f t="shared" si="11"/>
        <v>2730.2400000000002</v>
      </c>
      <c r="Q223" s="990"/>
    </row>
    <row r="224" spans="2:17" x14ac:dyDescent="0.25">
      <c r="B224" s="263"/>
      <c r="C224" s="264"/>
      <c r="D224" s="264" t="s">
        <v>823</v>
      </c>
      <c r="E224" s="264" t="str">
        <f>'Insumos e serviços'!D374</f>
        <v xml:space="preserve">Bens de consumo </v>
      </c>
      <c r="F224" s="264"/>
      <c r="G224" s="264"/>
      <c r="H224" s="264"/>
      <c r="I224" s="264"/>
      <c r="J224" s="264"/>
      <c r="K224" s="311"/>
      <c r="L224" s="989">
        <f>('Insumos e serviços'!F374*'Insumos e serviços'!G374)/4.345</f>
        <v>0</v>
      </c>
      <c r="M224" s="991"/>
      <c r="N224" s="989">
        <f t="shared" si="10"/>
        <v>0</v>
      </c>
      <c r="O224" s="991"/>
      <c r="P224" s="989">
        <f t="shared" si="11"/>
        <v>0</v>
      </c>
      <c r="Q224" s="990"/>
    </row>
    <row r="225" spans="1:17" x14ac:dyDescent="0.25">
      <c r="B225" s="263"/>
      <c r="C225" s="264"/>
      <c r="D225" s="264" t="s">
        <v>824</v>
      </c>
      <c r="E225" s="264" t="str">
        <f>'Insumos e serviços'!D375</f>
        <v xml:space="preserve">Bens de consumo </v>
      </c>
      <c r="F225" s="264"/>
      <c r="G225" s="264"/>
      <c r="H225" s="264"/>
      <c r="I225" s="264"/>
      <c r="J225" s="264"/>
      <c r="K225" s="311"/>
      <c r="L225" s="989">
        <f>('Insumos e serviços'!F375*'Insumos e serviços'!G375)/4.345</f>
        <v>0</v>
      </c>
      <c r="M225" s="991"/>
      <c r="N225" s="989">
        <f t="shared" si="10"/>
        <v>0</v>
      </c>
      <c r="O225" s="991"/>
      <c r="P225" s="989">
        <f t="shared" si="11"/>
        <v>0</v>
      </c>
      <c r="Q225" s="990"/>
    </row>
    <row r="226" spans="1:17" x14ac:dyDescent="0.25">
      <c r="B226" s="263"/>
      <c r="C226" s="264"/>
      <c r="D226" s="264" t="s">
        <v>825</v>
      </c>
      <c r="E226" s="264" t="str">
        <f>'Insumos e serviços'!D376</f>
        <v xml:space="preserve">Bens de consumo </v>
      </c>
      <c r="F226" s="264"/>
      <c r="G226" s="264"/>
      <c r="H226" s="264"/>
      <c r="I226" s="264"/>
      <c r="J226" s="264"/>
      <c r="K226" s="311"/>
      <c r="L226" s="989">
        <f>('Insumos e serviços'!F376*'Insumos e serviços'!G376)/4.345</f>
        <v>0</v>
      </c>
      <c r="M226" s="991"/>
      <c r="N226" s="989">
        <f t="shared" si="10"/>
        <v>0</v>
      </c>
      <c r="O226" s="991"/>
      <c r="P226" s="989">
        <f t="shared" si="11"/>
        <v>0</v>
      </c>
      <c r="Q226" s="990"/>
    </row>
    <row r="227" spans="1:17" x14ac:dyDescent="0.25">
      <c r="B227" s="263"/>
      <c r="C227" s="264"/>
      <c r="D227" s="264" t="s">
        <v>826</v>
      </c>
      <c r="E227" s="264" t="str">
        <f>'Insumos e serviços'!D377</f>
        <v xml:space="preserve">Bens de consumo </v>
      </c>
      <c r="F227" s="264"/>
      <c r="G227" s="264"/>
      <c r="H227" s="264"/>
      <c r="I227" s="264"/>
      <c r="J227" s="264"/>
      <c r="K227" s="311"/>
      <c r="L227" s="989">
        <f>('Insumos e serviços'!F377*'Insumos e serviços'!G377)/4.345</f>
        <v>0</v>
      </c>
      <c r="M227" s="991"/>
      <c r="N227" s="989">
        <f t="shared" si="10"/>
        <v>0</v>
      </c>
      <c r="O227" s="991"/>
      <c r="P227" s="989">
        <f t="shared" si="11"/>
        <v>0</v>
      </c>
      <c r="Q227" s="990"/>
    </row>
    <row r="228" spans="1:17" ht="51.75" customHeight="1" x14ac:dyDescent="0.25">
      <c r="B228" s="1032" t="s">
        <v>832</v>
      </c>
      <c r="C228" s="1033"/>
      <c r="D228" s="1033"/>
      <c r="E228" s="1033"/>
      <c r="F228" s="1033"/>
      <c r="G228" s="1033"/>
      <c r="H228" s="1033"/>
      <c r="I228" s="1033"/>
      <c r="J228" s="1033"/>
      <c r="K228" s="1033"/>
      <c r="L228" s="1012">
        <f>SUM(L218:M227)</f>
        <v>1763.4798619102417</v>
      </c>
      <c r="M228" s="1013"/>
      <c r="N228" s="1012">
        <f>SUM(N218:O227)</f>
        <v>7662.3200000000006</v>
      </c>
      <c r="O228" s="1013"/>
      <c r="P228" s="1012">
        <f>SUM(P218:Q227)</f>
        <v>91947.840000000011</v>
      </c>
      <c r="Q228" s="1014"/>
    </row>
    <row r="229" spans="1:17" s="326" customFormat="1" ht="35.25" x14ac:dyDescent="0.25">
      <c r="A229" s="325"/>
      <c r="B229" s="1028" t="s">
        <v>791</v>
      </c>
      <c r="C229" s="1029"/>
      <c r="D229" s="1029"/>
      <c r="E229" s="1029"/>
      <c r="F229" s="1029"/>
      <c r="G229" s="1029"/>
      <c r="H229" s="1029"/>
      <c r="I229" s="1029"/>
      <c r="J229" s="1029"/>
      <c r="K229" s="1029"/>
      <c r="L229" s="1043">
        <f>SUM(L169,L181,L193,L205,L217,L228)</f>
        <v>5769.4623023136674</v>
      </c>
      <c r="M229" s="1044"/>
      <c r="N229" s="1043">
        <f>SUM(N169,N181,N193,N205,N217,N228)</f>
        <v>25068.313703552885</v>
      </c>
      <c r="O229" s="1044"/>
      <c r="P229" s="1043">
        <f>SUM(P169,P181,P193,P205,P217,P228)</f>
        <v>300819.76444263465</v>
      </c>
      <c r="Q229" s="1045"/>
    </row>
    <row r="230" spans="1:17" x14ac:dyDescent="0.25">
      <c r="B230" s="201"/>
      <c r="C230" s="200"/>
      <c r="D230" s="200"/>
      <c r="E230" s="200"/>
      <c r="F230" s="200"/>
      <c r="G230" s="200"/>
      <c r="H230" s="200"/>
      <c r="I230" s="200"/>
      <c r="J230" s="200"/>
      <c r="K230" s="241"/>
      <c r="L230" s="237"/>
      <c r="M230" s="229"/>
      <c r="N230" s="237"/>
      <c r="O230" s="229"/>
      <c r="P230" s="237"/>
      <c r="Q230" s="239"/>
    </row>
    <row r="231" spans="1:17" s="326" customFormat="1" ht="35.25" x14ac:dyDescent="0.25">
      <c r="A231" s="325"/>
      <c r="B231" s="1046" t="s">
        <v>156</v>
      </c>
      <c r="C231" s="1047"/>
      <c r="D231" s="1047"/>
      <c r="E231" s="1047"/>
      <c r="F231" s="1047"/>
      <c r="G231" s="1047"/>
      <c r="H231" s="1047"/>
      <c r="I231" s="1047"/>
      <c r="J231" s="1047"/>
      <c r="K231" s="1048"/>
      <c r="L231" s="1049">
        <f>SUM(L229,L155,L134,L49)</f>
        <v>697707.63448996062</v>
      </c>
      <c r="M231" s="1050"/>
      <c r="N231" s="1049">
        <f>SUM(N229,N155,N134,N49)</f>
        <v>3031539.6718588788</v>
      </c>
      <c r="O231" s="1050"/>
      <c r="P231" s="1049">
        <f>SUM(P229,P155,P134,P49)</f>
        <v>36378476.062306546</v>
      </c>
      <c r="Q231" s="1051"/>
    </row>
    <row r="232" spans="1:17" x14ac:dyDescent="0.25">
      <c r="B232" s="243"/>
      <c r="C232" s="244"/>
      <c r="D232" s="244"/>
      <c r="E232" s="244"/>
      <c r="F232" s="244"/>
      <c r="G232" s="244"/>
      <c r="H232" s="244"/>
      <c r="I232" s="244"/>
      <c r="J232" s="244"/>
      <c r="K232" s="245"/>
      <c r="L232" s="246"/>
      <c r="M232" s="247"/>
      <c r="N232" s="246"/>
      <c r="O232" s="247"/>
      <c r="P232" s="246"/>
      <c r="Q232" s="248"/>
    </row>
    <row r="233" spans="1:17" x14ac:dyDescent="0.25">
      <c r="B233" s="243"/>
      <c r="C233" s="249" t="s">
        <v>695</v>
      </c>
      <c r="D233" s="244"/>
      <c r="E233" s="244"/>
      <c r="F233" s="244"/>
      <c r="G233" s="244"/>
      <c r="H233" s="244"/>
      <c r="I233" s="244"/>
      <c r="J233" s="244"/>
      <c r="K233" s="245"/>
      <c r="L233" s="246"/>
      <c r="M233" s="247"/>
      <c r="N233" s="246"/>
      <c r="O233" s="247"/>
      <c r="P233" s="246"/>
      <c r="Q233" s="248"/>
    </row>
    <row r="234" spans="1:17" x14ac:dyDescent="0.25">
      <c r="B234" s="250"/>
      <c r="C234" s="251"/>
      <c r="D234" s="252" t="s">
        <v>645</v>
      </c>
      <c r="E234" s="253" t="str">
        <f>'Insumos e serviços'!D342</f>
        <v>Transporte dos animais (plataforma ao abatedouro)</v>
      </c>
      <c r="F234" s="254"/>
      <c r="G234" s="254"/>
      <c r="H234" s="254"/>
      <c r="I234" s="254"/>
      <c r="J234" s="254"/>
      <c r="K234" s="255"/>
      <c r="L234" s="987">
        <f>'Insumos e serviços'!G342</f>
        <v>1500</v>
      </c>
      <c r="M234" s="1017"/>
      <c r="N234" s="256"/>
      <c r="O234" s="349">
        <f>L234*4.345</f>
        <v>6517.5</v>
      </c>
      <c r="P234" s="987">
        <f>O234*12</f>
        <v>78210</v>
      </c>
      <c r="Q234" s="988"/>
    </row>
    <row r="235" spans="1:17" x14ac:dyDescent="0.25">
      <c r="B235" s="250"/>
      <c r="C235" s="251"/>
      <c r="D235" s="252" t="s">
        <v>646</v>
      </c>
      <c r="E235" s="253" t="str">
        <f>'Insumos e serviços'!D344</f>
        <v xml:space="preserve">Seguro </v>
      </c>
      <c r="F235" s="254"/>
      <c r="G235" s="254"/>
      <c r="H235" s="254"/>
      <c r="I235" s="254"/>
      <c r="J235" s="254"/>
      <c r="K235" s="255"/>
      <c r="L235" s="987">
        <f>'Insumos e serviços'!G344</f>
        <v>741.76410971773373</v>
      </c>
      <c r="M235" s="1017"/>
      <c r="N235" s="256"/>
      <c r="O235" s="349">
        <f>L235*4.345</f>
        <v>3222.9650567235531</v>
      </c>
      <c r="P235" s="987">
        <f>O235*12</f>
        <v>38675.580680682637</v>
      </c>
      <c r="Q235" s="988"/>
    </row>
    <row r="236" spans="1:17" s="326" customFormat="1" ht="35.25" x14ac:dyDescent="0.25">
      <c r="A236" s="325"/>
      <c r="B236" s="1028" t="s">
        <v>647</v>
      </c>
      <c r="C236" s="1029"/>
      <c r="D236" s="1029"/>
      <c r="E236" s="1029"/>
      <c r="F236" s="1029"/>
      <c r="G236" s="1029"/>
      <c r="H236" s="1029"/>
      <c r="I236" s="1029"/>
      <c r="J236" s="1029"/>
      <c r="K236" s="1042"/>
      <c r="L236" s="1043">
        <f>SUM(L234,L235)</f>
        <v>2241.7641097177338</v>
      </c>
      <c r="M236" s="1044"/>
      <c r="N236" s="1043">
        <f>SUM(N234,N235)</f>
        <v>0</v>
      </c>
      <c r="O236" s="1044"/>
      <c r="P236" s="1043">
        <f>SUM(P234,P235)</f>
        <v>116885.58068068264</v>
      </c>
      <c r="Q236" s="1045"/>
    </row>
    <row r="237" spans="1:17" x14ac:dyDescent="0.25">
      <c r="B237" s="223"/>
      <c r="C237" s="224"/>
      <c r="D237" s="224"/>
      <c r="E237" s="224"/>
      <c r="F237" s="224"/>
      <c r="G237" s="224"/>
      <c r="H237" s="224"/>
      <c r="I237" s="224"/>
      <c r="J237" s="224"/>
      <c r="K237" s="224"/>
      <c r="L237" s="225"/>
      <c r="M237" s="226"/>
      <c r="N237" s="225"/>
      <c r="O237" s="226"/>
      <c r="P237" s="225"/>
      <c r="Q237" s="227"/>
    </row>
    <row r="238" spans="1:17" x14ac:dyDescent="0.25">
      <c r="B238" s="257" t="s">
        <v>269</v>
      </c>
      <c r="C238" s="258"/>
      <c r="D238" s="259"/>
      <c r="E238" s="259"/>
      <c r="F238" s="259"/>
      <c r="G238" s="259"/>
      <c r="H238" s="259"/>
      <c r="I238" s="259"/>
      <c r="J238" s="259"/>
      <c r="K238" s="259"/>
      <c r="L238" s="1019"/>
      <c r="M238" s="1052"/>
      <c r="N238" s="1019"/>
      <c r="O238" s="1052"/>
      <c r="P238" s="1019"/>
      <c r="Q238" s="1020"/>
    </row>
    <row r="239" spans="1:17" x14ac:dyDescent="0.25">
      <c r="B239" s="201"/>
      <c r="C239" s="200"/>
      <c r="D239" s="199" t="s">
        <v>153</v>
      </c>
      <c r="E239" s="200" t="str">
        <f>'Caracterização do sistema'!C21</f>
        <v>Impostos (ICMS entre outros)</v>
      </c>
      <c r="F239" s="200"/>
      <c r="G239" s="200"/>
      <c r="H239" s="200"/>
      <c r="I239" s="200"/>
      <c r="J239" s="200"/>
      <c r="K239" s="241"/>
      <c r="L239" s="981">
        <f>('Caracterização do sistema'!I21/(365/7))</f>
        <v>1707.0735675695787</v>
      </c>
      <c r="M239" s="982"/>
      <c r="N239" s="981">
        <f>L239*4.345</f>
        <v>7417.2346510898187</v>
      </c>
      <c r="O239" s="982"/>
      <c r="P239" s="981">
        <f>N239*12</f>
        <v>89006.815813077817</v>
      </c>
      <c r="Q239" s="983"/>
    </row>
    <row r="240" spans="1:17" x14ac:dyDescent="0.25">
      <c r="B240" s="201"/>
      <c r="C240" s="200"/>
      <c r="D240" s="199" t="s">
        <v>152</v>
      </c>
      <c r="E240" s="200" t="str">
        <f>'Caracterização do sistema'!C22</f>
        <v>GTA</v>
      </c>
      <c r="F240" s="200"/>
      <c r="G240" s="200"/>
      <c r="H240" s="200"/>
      <c r="I240" s="200"/>
      <c r="J240" s="200"/>
      <c r="K240" s="241"/>
      <c r="L240" s="981">
        <f>('Caracterização do sistema'!I22*'Relatório econômico'!$D$7)</f>
        <v>1565.7543367520148</v>
      </c>
      <c r="M240" s="982"/>
      <c r="N240" s="981">
        <f>L240*4.345</f>
        <v>6803.2025931875041</v>
      </c>
      <c r="O240" s="982"/>
      <c r="P240" s="981">
        <f>N240*12</f>
        <v>81638.431118250053</v>
      </c>
      <c r="Q240" s="983"/>
    </row>
    <row r="241" spans="1:17" x14ac:dyDescent="0.25">
      <c r="B241" s="201"/>
      <c r="C241" s="200"/>
      <c r="D241" s="199" t="s">
        <v>564</v>
      </c>
      <c r="E241" s="200" t="str">
        <f>'Caracterização do sistema'!C23</f>
        <v xml:space="preserve">Funrural </v>
      </c>
      <c r="F241" s="200"/>
      <c r="G241" s="200"/>
      <c r="H241" s="200"/>
      <c r="I241" s="200"/>
      <c r="J241" s="200"/>
      <c r="K241" s="241"/>
      <c r="L241" s="981">
        <f>('Caracterização do sistema'!I23)</f>
        <v>11126.461645766005</v>
      </c>
      <c r="M241" s="982"/>
      <c r="N241" s="981">
        <f>L241*4.345</f>
        <v>48344.47585085329</v>
      </c>
      <c r="O241" s="982"/>
      <c r="P241" s="981">
        <f>N241*12</f>
        <v>580133.71021023951</v>
      </c>
      <c r="Q241" s="983"/>
    </row>
    <row r="242" spans="1:17" x14ac:dyDescent="0.25">
      <c r="B242" s="201"/>
      <c r="C242" s="200"/>
      <c r="D242" s="199" t="s">
        <v>1014</v>
      </c>
      <c r="E242" s="200" t="str">
        <f>'Caracterização do sistema'!C24</f>
        <v>Outras taxas variáveis</v>
      </c>
      <c r="F242" s="200"/>
      <c r="G242" s="200"/>
      <c r="H242" s="200"/>
      <c r="I242" s="200"/>
      <c r="J242" s="200"/>
      <c r="K242" s="241"/>
      <c r="L242" s="981">
        <f>('Caracterização do sistema'!I24/(365/7))</f>
        <v>0</v>
      </c>
      <c r="M242" s="982"/>
      <c r="N242" s="981">
        <f>L242*4.345</f>
        <v>0</v>
      </c>
      <c r="O242" s="982"/>
      <c r="P242" s="981">
        <f>N242*12</f>
        <v>0</v>
      </c>
      <c r="Q242" s="983"/>
    </row>
    <row r="243" spans="1:17" s="326" customFormat="1" ht="35.25" x14ac:dyDescent="0.25">
      <c r="A243" s="325"/>
      <c r="B243" s="1028" t="s">
        <v>566</v>
      </c>
      <c r="C243" s="1029"/>
      <c r="D243" s="1029"/>
      <c r="E243" s="1029"/>
      <c r="F243" s="1029"/>
      <c r="G243" s="1029"/>
      <c r="H243" s="1029"/>
      <c r="I243" s="1029"/>
      <c r="J243" s="1029"/>
      <c r="K243" s="1042"/>
      <c r="L243" s="1043">
        <f>SUM(L239:M242)</f>
        <v>14399.289550087598</v>
      </c>
      <c r="M243" s="1044"/>
      <c r="N243" s="1043">
        <f>SUM(N239:O242)</f>
        <v>62564.913095130614</v>
      </c>
      <c r="O243" s="1044"/>
      <c r="P243" s="1043">
        <f>SUM(P239:Q242)</f>
        <v>750778.95714156737</v>
      </c>
      <c r="Q243" s="1045"/>
    </row>
    <row r="244" spans="1:17" s="242" customFormat="1" ht="32.25" thickBot="1" x14ac:dyDescent="0.3">
      <c r="A244" s="14"/>
      <c r="B244" s="201"/>
      <c r="C244" s="200"/>
      <c r="D244" s="200"/>
      <c r="E244" s="200"/>
      <c r="F244" s="200"/>
      <c r="G244" s="200"/>
      <c r="H244" s="200"/>
      <c r="I244" s="200"/>
      <c r="J244" s="200"/>
      <c r="K244" s="241"/>
      <c r="L244" s="237"/>
      <c r="M244" s="229"/>
      <c r="N244" s="237"/>
      <c r="O244" s="229"/>
      <c r="P244" s="237"/>
      <c r="Q244" s="239"/>
    </row>
    <row r="245" spans="1:17" s="328" customFormat="1" ht="39" thickBot="1" x14ac:dyDescent="0.3">
      <c r="A245" s="330"/>
      <c r="B245" s="1067" t="s">
        <v>567</v>
      </c>
      <c r="C245" s="1068"/>
      <c r="D245" s="1068"/>
      <c r="E245" s="1068"/>
      <c r="F245" s="1068"/>
      <c r="G245" s="1068"/>
      <c r="H245" s="1068"/>
      <c r="I245" s="1068"/>
      <c r="J245" s="1068"/>
      <c r="K245" s="1069"/>
      <c r="L245" s="1070">
        <f>SUM(L231,L236,L243)</f>
        <v>714348.68814976595</v>
      </c>
      <c r="M245" s="1071"/>
      <c r="N245" s="1070">
        <f>SUM(N231,N236,N243)</f>
        <v>3094104.5849540094</v>
      </c>
      <c r="O245" s="1071"/>
      <c r="P245" s="1070">
        <f>SUM(P231,P236,P243)</f>
        <v>37246140.6001288</v>
      </c>
      <c r="Q245" s="1072"/>
    </row>
    <row r="246" spans="1:17" s="242" customFormat="1" ht="32.25" thickBot="1" x14ac:dyDescent="0.3">
      <c r="A246" s="14"/>
      <c r="B246" s="201"/>
      <c r="C246" s="200"/>
      <c r="D246" s="200"/>
      <c r="E246" s="200"/>
      <c r="F246" s="200"/>
      <c r="G246" s="200"/>
      <c r="H246" s="200"/>
      <c r="I246" s="200"/>
      <c r="J246" s="200"/>
      <c r="K246" s="200"/>
      <c r="L246" s="981"/>
      <c r="M246" s="982"/>
      <c r="N246" s="981"/>
      <c r="O246" s="982"/>
      <c r="P246" s="981"/>
      <c r="Q246" s="983"/>
    </row>
    <row r="247" spans="1:17" s="242" customFormat="1" ht="75.75" customHeight="1" thickBot="1" x14ac:dyDescent="0.3">
      <c r="A247" s="14"/>
      <c r="B247" s="1073" t="s">
        <v>545</v>
      </c>
      <c r="C247" s="1074"/>
      <c r="D247" s="1074"/>
      <c r="E247" s="1074"/>
      <c r="F247" s="1074"/>
      <c r="G247" s="1074"/>
      <c r="H247" s="1074"/>
      <c r="I247" s="1074"/>
      <c r="J247" s="1074"/>
      <c r="K247" s="1075"/>
      <c r="L247" s="1059" t="s">
        <v>136</v>
      </c>
      <c r="M247" s="1060"/>
      <c r="N247" s="1059" t="s">
        <v>215</v>
      </c>
      <c r="O247" s="1060"/>
      <c r="P247" s="1059" t="s">
        <v>216</v>
      </c>
      <c r="Q247" s="1060"/>
    </row>
    <row r="248" spans="1:17" s="242" customFormat="1" x14ac:dyDescent="0.25">
      <c r="A248" s="14"/>
      <c r="B248" s="195" t="s">
        <v>270</v>
      </c>
      <c r="C248" s="197"/>
      <c r="D248" s="197"/>
      <c r="E248" s="197"/>
      <c r="F248" s="197"/>
      <c r="G248" s="197"/>
      <c r="H248" s="197"/>
      <c r="I248" s="197"/>
      <c r="J248" s="197"/>
      <c r="K248" s="197"/>
      <c r="L248" s="1061"/>
      <c r="M248" s="1062"/>
      <c r="N248" s="1061"/>
      <c r="O248" s="1062"/>
      <c r="P248" s="1061"/>
      <c r="Q248" s="1065"/>
    </row>
    <row r="249" spans="1:17" x14ac:dyDescent="0.25">
      <c r="B249" s="312"/>
      <c r="C249" s="313" t="s">
        <v>272</v>
      </c>
      <c r="D249" s="314"/>
      <c r="E249" s="314"/>
      <c r="F249" s="314"/>
      <c r="G249" s="314"/>
      <c r="H249" s="314"/>
      <c r="I249" s="314"/>
      <c r="J249" s="314"/>
      <c r="K249" s="314"/>
      <c r="L249" s="1063"/>
      <c r="M249" s="1064"/>
      <c r="N249" s="1063"/>
      <c r="O249" s="1064"/>
      <c r="P249" s="1063"/>
      <c r="Q249" s="1066"/>
    </row>
    <row r="250" spans="1:17" x14ac:dyDescent="0.25">
      <c r="B250" s="206"/>
      <c r="C250" s="203"/>
      <c r="D250" s="204" t="s">
        <v>132</v>
      </c>
      <c r="E250" s="205" t="s">
        <v>273</v>
      </c>
      <c r="F250" s="203"/>
      <c r="G250" s="203"/>
      <c r="H250" s="203"/>
      <c r="I250" s="203"/>
      <c r="J250" s="203"/>
      <c r="K250" s="203"/>
      <c r="L250" s="1000"/>
      <c r="M250" s="1015"/>
      <c r="N250" s="1000"/>
      <c r="O250" s="1015"/>
      <c r="P250" s="1000"/>
      <c r="Q250" s="1001"/>
    </row>
    <row r="251" spans="1:17" x14ac:dyDescent="0.25">
      <c r="B251" s="206"/>
      <c r="C251" s="203"/>
      <c r="D251" s="203" t="s">
        <v>133</v>
      </c>
      <c r="E251" s="203" t="str">
        <f>'Insumos e serviços'!C31</f>
        <v>Líder - reposição</v>
      </c>
      <c r="F251" s="203"/>
      <c r="G251" s="203"/>
      <c r="H251" s="203"/>
      <c r="I251" s="203"/>
      <c r="J251" s="203"/>
      <c r="K251" s="203"/>
      <c r="L251" s="1000">
        <f>('Insumos e serviços'!F31/4.345)*'Insumos e serviços'!G31</f>
        <v>549.30955120828537</v>
      </c>
      <c r="M251" s="1015"/>
      <c r="N251" s="1000">
        <f>L251*4.345</f>
        <v>2386.75</v>
      </c>
      <c r="O251" s="1015"/>
      <c r="P251" s="1000">
        <f>N251*12</f>
        <v>28641</v>
      </c>
      <c r="Q251" s="1001"/>
    </row>
    <row r="252" spans="1:17" x14ac:dyDescent="0.25">
      <c r="B252" s="206"/>
      <c r="C252" s="203"/>
      <c r="D252" s="203" t="s">
        <v>134</v>
      </c>
      <c r="E252" s="203" t="str">
        <f>'Insumos e serviços'!C32</f>
        <v>Padrão - Reposição</v>
      </c>
      <c r="F252" s="203"/>
      <c r="G252" s="203"/>
      <c r="H252" s="203"/>
      <c r="I252" s="203"/>
      <c r="J252" s="203"/>
      <c r="K252" s="260"/>
      <c r="L252" s="1000">
        <f>('Insumos e serviços'!F32/4.345)*'Insumos e serviços'!G32</f>
        <v>821.64326812428078</v>
      </c>
      <c r="M252" s="1015"/>
      <c r="N252" s="1000">
        <f>L252*4.345</f>
        <v>3570.04</v>
      </c>
      <c r="O252" s="1015"/>
      <c r="P252" s="1000">
        <f>N252*12</f>
        <v>42840.479999999996</v>
      </c>
      <c r="Q252" s="1001"/>
    </row>
    <row r="253" spans="1:17" x14ac:dyDescent="0.25">
      <c r="B253" s="206"/>
      <c r="C253" s="203"/>
      <c r="D253" s="203" t="s">
        <v>393</v>
      </c>
      <c r="E253" s="203" t="str">
        <f>'Insumos e serviços'!C33</f>
        <v>Colaborador 1</v>
      </c>
      <c r="F253" s="203"/>
      <c r="G253" s="203"/>
      <c r="H253" s="203"/>
      <c r="I253" s="203"/>
      <c r="J253" s="203"/>
      <c r="K253" s="203"/>
      <c r="L253" s="1000">
        <f>('Insumos e serviços'!F33/4)*'Insumos e serviços'!G33</f>
        <v>0</v>
      </c>
      <c r="M253" s="1015"/>
      <c r="N253" s="1000">
        <f>L253*4.345</f>
        <v>0</v>
      </c>
      <c r="O253" s="1015"/>
      <c r="P253" s="1000">
        <f>N253*12</f>
        <v>0</v>
      </c>
      <c r="Q253" s="1001"/>
    </row>
    <row r="254" spans="1:17" x14ac:dyDescent="0.25">
      <c r="B254" s="1034" t="s">
        <v>392</v>
      </c>
      <c r="C254" s="1035"/>
      <c r="D254" s="1035"/>
      <c r="E254" s="1035"/>
      <c r="F254" s="1035"/>
      <c r="G254" s="1035"/>
      <c r="H254" s="1035"/>
      <c r="I254" s="1035"/>
      <c r="J254" s="1035"/>
      <c r="K254" s="1035"/>
      <c r="L254" s="992">
        <f>SUM(L251:M253)</f>
        <v>1370.9528193325662</v>
      </c>
      <c r="M254" s="993"/>
      <c r="N254" s="992">
        <f>SUM(N251:O253)</f>
        <v>5956.79</v>
      </c>
      <c r="O254" s="993"/>
      <c r="P254" s="992">
        <f>SUM(P251:Q253)</f>
        <v>71481.48</v>
      </c>
      <c r="Q254" s="994"/>
    </row>
    <row r="255" spans="1:17" x14ac:dyDescent="0.25">
      <c r="B255" s="210"/>
      <c r="C255" s="207"/>
      <c r="D255" s="207" t="s">
        <v>394</v>
      </c>
      <c r="E255" s="207" t="str">
        <f>'Insumos e serviços'!C140</f>
        <v xml:space="preserve">Técnico - Reprodução </v>
      </c>
      <c r="F255" s="207"/>
      <c r="G255" s="207"/>
      <c r="H255" s="207"/>
      <c r="I255" s="207"/>
      <c r="J255" s="207"/>
      <c r="K255" s="240"/>
      <c r="L255" s="984">
        <f>('Insumos e serviços'!F140/4.345)*'Insumos e serviços'!G140</f>
        <v>547.24280782508629</v>
      </c>
      <c r="M255" s="985"/>
      <c r="N255" s="984">
        <f>L255*4.345</f>
        <v>2377.77</v>
      </c>
      <c r="O255" s="985"/>
      <c r="P255" s="984">
        <f>N255*12</f>
        <v>28533.239999999998</v>
      </c>
      <c r="Q255" s="986"/>
    </row>
    <row r="256" spans="1:17" x14ac:dyDescent="0.25">
      <c r="B256" s="210"/>
      <c r="C256" s="207"/>
      <c r="D256" s="207" t="s">
        <v>395</v>
      </c>
      <c r="E256" s="207" t="str">
        <f>'Insumos e serviços'!C141</f>
        <v xml:space="preserve">Padrão - Reprodução </v>
      </c>
      <c r="F256" s="207"/>
      <c r="G256" s="207"/>
      <c r="H256" s="207"/>
      <c r="I256" s="207"/>
      <c r="J256" s="207"/>
      <c r="K256" s="240"/>
      <c r="L256" s="984">
        <f>('Insumos e serviços'!F141/4.345)*'Insumos e serviços'!G141</f>
        <v>410.82163406214039</v>
      </c>
      <c r="M256" s="985"/>
      <c r="N256" s="984">
        <f>L256*4.345</f>
        <v>1785.02</v>
      </c>
      <c r="O256" s="985"/>
      <c r="P256" s="984">
        <f>N256*12</f>
        <v>21420.239999999998</v>
      </c>
      <c r="Q256" s="986"/>
    </row>
    <row r="257" spans="2:17" x14ac:dyDescent="0.25">
      <c r="B257" s="210"/>
      <c r="C257" s="207"/>
      <c r="D257" s="207" t="s">
        <v>396</v>
      </c>
      <c r="E257" s="207" t="str">
        <f>'Insumos e serviços'!C142</f>
        <v>Líder - Gestação</v>
      </c>
      <c r="F257" s="207"/>
      <c r="G257" s="207"/>
      <c r="H257" s="207"/>
      <c r="I257" s="207"/>
      <c r="J257" s="207"/>
      <c r="K257" s="240"/>
      <c r="L257" s="984">
        <f>('Insumos e serviços'!F142/4.345)*'Insumos e serviços'!G142</f>
        <v>1098.6191024165707</v>
      </c>
      <c r="M257" s="985"/>
      <c r="N257" s="984">
        <f>L257*4.345</f>
        <v>4773.5</v>
      </c>
      <c r="O257" s="985"/>
      <c r="P257" s="984">
        <f>N257*12</f>
        <v>57282</v>
      </c>
      <c r="Q257" s="986"/>
    </row>
    <row r="258" spans="2:17" x14ac:dyDescent="0.25">
      <c r="B258" s="210"/>
      <c r="C258" s="207"/>
      <c r="D258" s="207" t="s">
        <v>398</v>
      </c>
      <c r="E258" s="207" t="str">
        <f>'Insumos e serviços'!C143</f>
        <v xml:space="preserve">Padrão - Gestação </v>
      </c>
      <c r="F258" s="207"/>
      <c r="G258" s="207"/>
      <c r="H258" s="207"/>
      <c r="I258" s="207"/>
      <c r="J258" s="207"/>
      <c r="K258" s="240"/>
      <c r="L258" s="984">
        <f>('Insumos e serviços'!F143/4.345)*'Insumos e serviços'!G143</f>
        <v>2464.9298043728422</v>
      </c>
      <c r="M258" s="985"/>
      <c r="N258" s="984">
        <f>L258*4.345</f>
        <v>10710.119999999999</v>
      </c>
      <c r="O258" s="985"/>
      <c r="P258" s="984">
        <f>N258*12</f>
        <v>128521.43999999999</v>
      </c>
      <c r="Q258" s="986"/>
    </row>
    <row r="259" spans="2:17" x14ac:dyDescent="0.25">
      <c r="B259" s="210"/>
      <c r="C259" s="207"/>
      <c r="D259" s="207" t="s">
        <v>399</v>
      </c>
      <c r="E259" s="207" t="str">
        <f>'Insumos e serviços'!C144</f>
        <v>Colaborador 1</v>
      </c>
      <c r="F259" s="207"/>
      <c r="G259" s="207"/>
      <c r="H259" s="207"/>
      <c r="I259" s="207"/>
      <c r="J259" s="207"/>
      <c r="K259" s="207"/>
      <c r="L259" s="984">
        <f>('Insumos e serviços'!F144/4.345)*'Insumos e serviços'!G144</f>
        <v>0</v>
      </c>
      <c r="M259" s="985"/>
      <c r="N259" s="984">
        <f>L259*4.345</f>
        <v>0</v>
      </c>
      <c r="O259" s="985"/>
      <c r="P259" s="984">
        <f>N259*12</f>
        <v>0</v>
      </c>
      <c r="Q259" s="986"/>
    </row>
    <row r="260" spans="2:17" x14ac:dyDescent="0.25">
      <c r="B260" s="1036" t="s">
        <v>397</v>
      </c>
      <c r="C260" s="1037"/>
      <c r="D260" s="1037"/>
      <c r="E260" s="1037"/>
      <c r="F260" s="1037"/>
      <c r="G260" s="1037"/>
      <c r="H260" s="1037"/>
      <c r="I260" s="1037"/>
      <c r="J260" s="1037"/>
      <c r="K260" s="1037"/>
      <c r="L260" s="995">
        <f>SUM(L255:M259)</f>
        <v>4521.6133486766394</v>
      </c>
      <c r="M260" s="996"/>
      <c r="N260" s="995">
        <f>SUM(N255:O259)</f>
        <v>19646.41</v>
      </c>
      <c r="O260" s="996"/>
      <c r="P260" s="995">
        <f>SUM(P255:Q259)</f>
        <v>235756.91999999998</v>
      </c>
      <c r="Q260" s="997"/>
    </row>
    <row r="261" spans="2:17" ht="63.75" customHeight="1" x14ac:dyDescent="0.25">
      <c r="B261" s="214"/>
      <c r="C261" s="211"/>
      <c r="D261" s="211" t="s">
        <v>401</v>
      </c>
      <c r="E261" s="211" t="str">
        <f>'Insumos e serviços'!C206</f>
        <v>Líder - maternidade</v>
      </c>
      <c r="F261" s="211"/>
      <c r="G261" s="211"/>
      <c r="H261" s="211"/>
      <c r="I261" s="211"/>
      <c r="J261" s="211"/>
      <c r="K261" s="261"/>
      <c r="L261" s="1010">
        <f>(('Insumos e serviços'!F206/4.345)*'Insumos e serviços'!G206)</f>
        <v>549.30955120828537</v>
      </c>
      <c r="M261" s="1016"/>
      <c r="N261" s="1010">
        <f>L261*4.345</f>
        <v>2386.75</v>
      </c>
      <c r="O261" s="1016"/>
      <c r="P261" s="1010">
        <f>N261*12</f>
        <v>28641</v>
      </c>
      <c r="Q261" s="1011"/>
    </row>
    <row r="262" spans="2:17" x14ac:dyDescent="0.25">
      <c r="B262" s="214"/>
      <c r="C262" s="211"/>
      <c r="D262" s="211" t="s">
        <v>402</v>
      </c>
      <c r="E262" s="211" t="str">
        <f>'Insumos e serviços'!C207</f>
        <v>Padrão- maternidade</v>
      </c>
      <c r="F262" s="211"/>
      <c r="G262" s="211"/>
      <c r="H262" s="211"/>
      <c r="I262" s="211"/>
      <c r="J262" s="211"/>
      <c r="K262" s="211"/>
      <c r="L262" s="1010">
        <f>(('Insumos e serviços'!F207/4.345)*'Insumos e serviços'!G207)</f>
        <v>4519.0379746835442</v>
      </c>
      <c r="M262" s="1016"/>
      <c r="N262" s="1010">
        <f>L262*4.345</f>
        <v>19635.219999999998</v>
      </c>
      <c r="O262" s="1016"/>
      <c r="P262" s="1010">
        <f>N262*12</f>
        <v>235622.63999999996</v>
      </c>
      <c r="Q262" s="1011"/>
    </row>
    <row r="263" spans="2:17" x14ac:dyDescent="0.25">
      <c r="B263" s="214"/>
      <c r="C263" s="211"/>
      <c r="D263" s="211" t="s">
        <v>404</v>
      </c>
      <c r="E263" s="211" t="str">
        <f>'Insumos e serviços'!C208</f>
        <v>Colaborador 1</v>
      </c>
      <c r="F263" s="211"/>
      <c r="G263" s="211"/>
      <c r="H263" s="211"/>
      <c r="I263" s="211"/>
      <c r="J263" s="211"/>
      <c r="K263" s="211"/>
      <c r="L263" s="1010">
        <f>(('Insumos e serviços'!F208/4.345)*'Insumos e serviços'!G208)</f>
        <v>0</v>
      </c>
      <c r="M263" s="1016"/>
      <c r="N263" s="1010">
        <f>L263*4.345</f>
        <v>0</v>
      </c>
      <c r="O263" s="1016"/>
      <c r="P263" s="1010">
        <f>N263*12</f>
        <v>0</v>
      </c>
      <c r="Q263" s="1011"/>
    </row>
    <row r="264" spans="2:17" x14ac:dyDescent="0.25">
      <c r="B264" s="1038" t="s">
        <v>400</v>
      </c>
      <c r="C264" s="1039"/>
      <c r="D264" s="1039"/>
      <c r="E264" s="1039"/>
      <c r="F264" s="1039"/>
      <c r="G264" s="1039"/>
      <c r="H264" s="1039"/>
      <c r="I264" s="1039"/>
      <c r="J264" s="1039"/>
      <c r="K264" s="1039"/>
      <c r="L264" s="998">
        <f>SUM(L261:M263)</f>
        <v>5068.3475258918297</v>
      </c>
      <c r="M264" s="999"/>
      <c r="N264" s="998">
        <f>SUM(N261:O263)</f>
        <v>22021.969999999998</v>
      </c>
      <c r="O264" s="999"/>
      <c r="P264" s="998">
        <f>SUM(P261:Q263)</f>
        <v>264263.63999999996</v>
      </c>
      <c r="Q264" s="1027"/>
    </row>
    <row r="265" spans="2:17" x14ac:dyDescent="0.25">
      <c r="B265" s="215"/>
      <c r="C265" s="216"/>
      <c r="D265" s="216" t="s">
        <v>405</v>
      </c>
      <c r="E265" s="216" t="str">
        <f>'Insumos e serviços'!C262</f>
        <v>Líder - creche</v>
      </c>
      <c r="F265" s="216"/>
      <c r="G265" s="216"/>
      <c r="H265" s="216"/>
      <c r="I265" s="216"/>
      <c r="J265" s="216"/>
      <c r="K265" s="262"/>
      <c r="L265" s="1007">
        <f>(('Insumos e serviços'!F262/4.345)*'Insumos e serviços'!G262)</f>
        <v>549.30955120828537</v>
      </c>
      <c r="M265" s="1018"/>
      <c r="N265" s="1007">
        <f>L265*4.345</f>
        <v>2386.75</v>
      </c>
      <c r="O265" s="1018"/>
      <c r="P265" s="1007">
        <f>N265*12</f>
        <v>28641</v>
      </c>
      <c r="Q265" s="1008"/>
    </row>
    <row r="266" spans="2:17" x14ac:dyDescent="0.25">
      <c r="B266" s="215"/>
      <c r="C266" s="216"/>
      <c r="D266" s="216" t="s">
        <v>407</v>
      </c>
      <c r="E266" s="216" t="str">
        <f>'Insumos e serviços'!C263</f>
        <v>Padrão - creche</v>
      </c>
      <c r="F266" s="216"/>
      <c r="G266" s="216"/>
      <c r="H266" s="216"/>
      <c r="I266" s="216"/>
      <c r="J266" s="216"/>
      <c r="K266" s="262"/>
      <c r="L266" s="1007">
        <f>(('Insumos e serviços'!F263/4.345)*'Insumos e serviços'!G263)</f>
        <v>1232.4649021864211</v>
      </c>
      <c r="M266" s="1018"/>
      <c r="N266" s="1007">
        <f>L266*4.345</f>
        <v>5355.0599999999995</v>
      </c>
      <c r="O266" s="1018"/>
      <c r="P266" s="1007">
        <f>N266*12</f>
        <v>64260.719999999994</v>
      </c>
      <c r="Q266" s="1008"/>
    </row>
    <row r="267" spans="2:17" x14ac:dyDescent="0.25">
      <c r="B267" s="215"/>
      <c r="C267" s="216"/>
      <c r="D267" s="216" t="s">
        <v>408</v>
      </c>
      <c r="E267" s="216" t="str">
        <f>'Insumos e serviços'!C264</f>
        <v>Colaborador 1</v>
      </c>
      <c r="F267" s="216"/>
      <c r="G267" s="216"/>
      <c r="H267" s="216"/>
      <c r="I267" s="216"/>
      <c r="J267" s="216"/>
      <c r="K267" s="262"/>
      <c r="L267" s="1007">
        <f>(('Insumos e serviços'!F264/4.345)*'Insumos e serviços'!G264)</f>
        <v>0</v>
      </c>
      <c r="M267" s="1018"/>
      <c r="N267" s="1007">
        <f>L267*4.345</f>
        <v>0</v>
      </c>
      <c r="O267" s="1018"/>
      <c r="P267" s="1007">
        <f>N267*12</f>
        <v>0</v>
      </c>
      <c r="Q267" s="1008"/>
    </row>
    <row r="268" spans="2:17" x14ac:dyDescent="0.25">
      <c r="B268" s="1040" t="s">
        <v>403</v>
      </c>
      <c r="C268" s="1041"/>
      <c r="D268" s="1041"/>
      <c r="E268" s="1041"/>
      <c r="F268" s="1041"/>
      <c r="G268" s="1041"/>
      <c r="H268" s="1041"/>
      <c r="I268" s="1041"/>
      <c r="J268" s="1041"/>
      <c r="K268" s="1041"/>
      <c r="L268" s="1024">
        <f>SUM(L265:M267)</f>
        <v>1781.7744533947066</v>
      </c>
      <c r="M268" s="1025"/>
      <c r="N268" s="1024">
        <f>SUM(N265:O267)</f>
        <v>7741.8099999999995</v>
      </c>
      <c r="O268" s="1025"/>
      <c r="P268" s="1024">
        <f>SUM(P265:Q267)</f>
        <v>92901.72</v>
      </c>
      <c r="Q268" s="1026"/>
    </row>
    <row r="269" spans="2:17" x14ac:dyDescent="0.25">
      <c r="B269" s="219"/>
      <c r="C269" s="220"/>
      <c r="D269" s="220" t="s">
        <v>409</v>
      </c>
      <c r="E269" s="220" t="str">
        <f>'Insumos e serviços'!C318</f>
        <v>Líder - cresc. terminação</v>
      </c>
      <c r="F269" s="220"/>
      <c r="G269" s="220"/>
      <c r="H269" s="220"/>
      <c r="I269" s="220"/>
      <c r="J269" s="220"/>
      <c r="K269" s="220"/>
      <c r="L269" s="987">
        <f>(('Insumos e serviços'!F318/4.345)*'Insumos e serviços'!G318)</f>
        <v>549.30955120828537</v>
      </c>
      <c r="M269" s="1017"/>
      <c r="N269" s="987">
        <f>L269*4.345</f>
        <v>2386.75</v>
      </c>
      <c r="O269" s="1017"/>
      <c r="P269" s="987">
        <f>N269*12</f>
        <v>28641</v>
      </c>
      <c r="Q269" s="988"/>
    </row>
    <row r="270" spans="2:17" x14ac:dyDescent="0.25">
      <c r="B270" s="219"/>
      <c r="C270" s="220"/>
      <c r="D270" s="220" t="s">
        <v>410</v>
      </c>
      <c r="E270" s="220" t="str">
        <f>'Insumos e serviços'!C319</f>
        <v>Padrão - cresc. terminação</v>
      </c>
      <c r="F270" s="220"/>
      <c r="G270" s="220"/>
      <c r="H270" s="220"/>
      <c r="I270" s="220"/>
      <c r="J270" s="220"/>
      <c r="K270" s="220"/>
      <c r="L270" s="987">
        <f>(('Insumos e serviços'!F319/4.345)*'Insumos e serviços'!G319)</f>
        <v>1232.4649021864211</v>
      </c>
      <c r="M270" s="1017"/>
      <c r="N270" s="987">
        <f>L270*4.345</f>
        <v>5355.0599999999995</v>
      </c>
      <c r="O270" s="1017"/>
      <c r="P270" s="987">
        <f>N270*12</f>
        <v>64260.719999999994</v>
      </c>
      <c r="Q270" s="988"/>
    </row>
    <row r="271" spans="2:17" x14ac:dyDescent="0.25">
      <c r="B271" s="219"/>
      <c r="C271" s="220"/>
      <c r="D271" s="220" t="s">
        <v>411</v>
      </c>
      <c r="E271" s="220" t="str">
        <f>'Insumos e serviços'!C320</f>
        <v>Colaborador 1</v>
      </c>
      <c r="F271" s="220"/>
      <c r="G271" s="220"/>
      <c r="H271" s="220"/>
      <c r="I271" s="220"/>
      <c r="J271" s="220"/>
      <c r="K271" s="220"/>
      <c r="L271" s="987">
        <f>(('Insumos e serviços'!F320/4.345)*'Insumos e serviços'!G320)</f>
        <v>0</v>
      </c>
      <c r="M271" s="1017"/>
      <c r="N271" s="987">
        <f>L271*4.345</f>
        <v>0</v>
      </c>
      <c r="O271" s="1017"/>
      <c r="P271" s="987">
        <f>N271*12</f>
        <v>0</v>
      </c>
      <c r="Q271" s="988"/>
    </row>
    <row r="272" spans="2:17" x14ac:dyDescent="0.25">
      <c r="B272" s="1030" t="s">
        <v>406</v>
      </c>
      <c r="C272" s="1031"/>
      <c r="D272" s="1031"/>
      <c r="E272" s="1031"/>
      <c r="F272" s="1031"/>
      <c r="G272" s="1031"/>
      <c r="H272" s="1031"/>
      <c r="I272" s="1031"/>
      <c r="J272" s="1031"/>
      <c r="K272" s="1031"/>
      <c r="L272" s="1021">
        <f>SUM(L269:M271)</f>
        <v>1781.7744533947066</v>
      </c>
      <c r="M272" s="1022"/>
      <c r="N272" s="1021">
        <f>SUM(N269:O271)</f>
        <v>7741.8099999999995</v>
      </c>
      <c r="O272" s="1022"/>
      <c r="P272" s="1021">
        <f>SUM(P269:Q271)</f>
        <v>92901.72</v>
      </c>
      <c r="Q272" s="1023"/>
    </row>
    <row r="273" spans="2:17" x14ac:dyDescent="0.25">
      <c r="B273" s="263"/>
      <c r="C273" s="264"/>
      <c r="D273" s="264" t="s">
        <v>792</v>
      </c>
      <c r="E273" s="264" t="str">
        <f>'Insumos e serviços'!C354</f>
        <v>Responsável técnico (Zoote.; Med. Vet.; Agron.)</v>
      </c>
      <c r="F273" s="264"/>
      <c r="G273" s="264"/>
      <c r="H273" s="264"/>
      <c r="I273" s="264"/>
      <c r="J273" s="264"/>
      <c r="K273" s="264"/>
      <c r="L273" s="989">
        <f>(('Insumos e serviços'!F354/4.345)*'Insumos e serviços'!G354)</f>
        <v>832.0851553509782</v>
      </c>
      <c r="M273" s="991"/>
      <c r="N273" s="989">
        <f t="shared" ref="N273:N279" si="12">L273*4.345</f>
        <v>3615.41</v>
      </c>
      <c r="O273" s="991"/>
      <c r="P273" s="989">
        <f>N273*12</f>
        <v>43384.92</v>
      </c>
      <c r="Q273" s="990"/>
    </row>
    <row r="274" spans="2:17" x14ac:dyDescent="0.25">
      <c r="B274" s="263"/>
      <c r="C274" s="264"/>
      <c r="D274" s="264" t="s">
        <v>793</v>
      </c>
      <c r="E274" s="264" t="str">
        <f>'Insumos e serviços'!C355</f>
        <v xml:space="preserve">Gerente de granja </v>
      </c>
      <c r="F274" s="264"/>
      <c r="G274" s="264"/>
      <c r="H274" s="264"/>
      <c r="I274" s="264"/>
      <c r="J274" s="264"/>
      <c r="K274" s="264"/>
      <c r="L274" s="989">
        <f>(('Insumos e serviços'!F355/4.345)*'Insumos e serviços'!G355)</f>
        <v>1109.4453394706559</v>
      </c>
      <c r="M274" s="991"/>
      <c r="N274" s="989">
        <f t="shared" si="12"/>
        <v>4820.54</v>
      </c>
      <c r="O274" s="991"/>
      <c r="P274" s="989">
        <f t="shared" ref="P274:P279" si="13">N274*12</f>
        <v>57846.479999999996</v>
      </c>
      <c r="Q274" s="990"/>
    </row>
    <row r="275" spans="2:17" x14ac:dyDescent="0.25">
      <c r="B275" s="263"/>
      <c r="C275" s="264"/>
      <c r="D275" s="264" t="s">
        <v>794</v>
      </c>
      <c r="E275" s="264" t="str">
        <f>'Insumos e serviços'!C356</f>
        <v>Motorista</v>
      </c>
      <c r="F275" s="264"/>
      <c r="G275" s="264"/>
      <c r="H275" s="264"/>
      <c r="I275" s="264"/>
      <c r="J275" s="264"/>
      <c r="K275" s="264"/>
      <c r="L275" s="989">
        <f>(('Insumos e serviços'!F356/4.345)*'Insumos e serviços'!G356)</f>
        <v>390.84004602991951</v>
      </c>
      <c r="M275" s="991"/>
      <c r="N275" s="989">
        <f t="shared" si="12"/>
        <v>1698.2</v>
      </c>
      <c r="O275" s="991"/>
      <c r="P275" s="989">
        <f t="shared" si="13"/>
        <v>20378.400000000001</v>
      </c>
      <c r="Q275" s="990"/>
    </row>
    <row r="276" spans="2:17" x14ac:dyDescent="0.25">
      <c r="B276" s="263"/>
      <c r="C276" s="264"/>
      <c r="D276" s="264" t="s">
        <v>795</v>
      </c>
      <c r="E276" s="264" t="str">
        <f>'Insumos e serviços'!C357</f>
        <v xml:space="preserve">Secretaria </v>
      </c>
      <c r="F276" s="264"/>
      <c r="G276" s="264"/>
      <c r="H276" s="264"/>
      <c r="I276" s="264"/>
      <c r="J276" s="264"/>
      <c r="K276" s="264"/>
      <c r="L276" s="989">
        <f>(('Insumos e serviços'!F357/4.345)*'Insumos e serviços'!G357)</f>
        <v>781.68009205983901</v>
      </c>
      <c r="M276" s="991"/>
      <c r="N276" s="989">
        <f t="shared" si="12"/>
        <v>3396.4</v>
      </c>
      <c r="O276" s="991"/>
      <c r="P276" s="989">
        <f t="shared" si="13"/>
        <v>40756.800000000003</v>
      </c>
      <c r="Q276" s="990"/>
    </row>
    <row r="277" spans="2:17" x14ac:dyDescent="0.25">
      <c r="B277" s="263"/>
      <c r="C277" s="264"/>
      <c r="D277" s="264" t="s">
        <v>796</v>
      </c>
      <c r="E277" s="264" t="str">
        <f>'Insumos e serviços'!C358</f>
        <v>Segurança</v>
      </c>
      <c r="F277" s="264"/>
      <c r="G277" s="264"/>
      <c r="H277" s="264"/>
      <c r="I277" s="264"/>
      <c r="J277" s="264"/>
      <c r="K277" s="264"/>
      <c r="L277" s="989">
        <f>(('Insumos e serviços'!F358/4.345)*'Insumos e serviços'!G358)</f>
        <v>1172.5201380897586</v>
      </c>
      <c r="M277" s="991"/>
      <c r="N277" s="989">
        <f t="shared" si="12"/>
        <v>5094.6000000000004</v>
      </c>
      <c r="O277" s="991"/>
      <c r="P277" s="989">
        <f t="shared" si="13"/>
        <v>61135.200000000004</v>
      </c>
      <c r="Q277" s="990"/>
    </row>
    <row r="278" spans="2:17" x14ac:dyDescent="0.25">
      <c r="B278" s="263"/>
      <c r="C278" s="264"/>
      <c r="D278" s="264" t="s">
        <v>797</v>
      </c>
      <c r="E278" s="264" t="str">
        <f>'Insumos e serviços'!C359</f>
        <v xml:space="preserve">Pró-labore do proprietário </v>
      </c>
      <c r="F278" s="264"/>
      <c r="G278" s="264"/>
      <c r="H278" s="264"/>
      <c r="I278" s="264"/>
      <c r="J278" s="264"/>
      <c r="K278" s="264"/>
      <c r="L278" s="989">
        <f>(('Insumos e serviços'!F359/4.345)*'Insumos e serviços'!G359)</f>
        <v>2301.4959723820484</v>
      </c>
      <c r="M278" s="991"/>
      <c r="N278" s="989">
        <f t="shared" si="12"/>
        <v>10000</v>
      </c>
      <c r="O278" s="991"/>
      <c r="P278" s="989">
        <f t="shared" si="13"/>
        <v>120000</v>
      </c>
      <c r="Q278" s="990"/>
    </row>
    <row r="279" spans="2:17" x14ac:dyDescent="0.25">
      <c r="B279" s="263"/>
      <c r="C279" s="264"/>
      <c r="D279" s="264" t="s">
        <v>798</v>
      </c>
      <c r="E279" s="264" t="str">
        <f>'Insumos e serviços'!C360</f>
        <v>Colaborador 1</v>
      </c>
      <c r="F279" s="264"/>
      <c r="G279" s="264"/>
      <c r="H279" s="264"/>
      <c r="I279" s="264"/>
      <c r="J279" s="264"/>
      <c r="K279" s="264"/>
      <c r="L279" s="989">
        <f>(('Insumos e serviços'!F360/4.345)*'Insumos e serviços'!G360)</f>
        <v>0</v>
      </c>
      <c r="M279" s="991"/>
      <c r="N279" s="989">
        <f t="shared" si="12"/>
        <v>0</v>
      </c>
      <c r="O279" s="991"/>
      <c r="P279" s="989">
        <f t="shared" si="13"/>
        <v>0</v>
      </c>
      <c r="Q279" s="990"/>
    </row>
    <row r="280" spans="2:17" x14ac:dyDescent="0.25">
      <c r="B280" s="1032" t="s">
        <v>423</v>
      </c>
      <c r="C280" s="1033"/>
      <c r="D280" s="1033"/>
      <c r="E280" s="1033"/>
      <c r="F280" s="1033"/>
      <c r="G280" s="1033"/>
      <c r="H280" s="1033"/>
      <c r="I280" s="1033"/>
      <c r="J280" s="1033"/>
      <c r="K280" s="1084"/>
      <c r="L280" s="1012">
        <f>SUM(L273:M279)</f>
        <v>6588.0667433831995</v>
      </c>
      <c r="M280" s="1013"/>
      <c r="N280" s="1012">
        <f>SUM(N273:O279)</f>
        <v>28625.15</v>
      </c>
      <c r="O280" s="1013"/>
      <c r="P280" s="1012">
        <f>SUM(P273:Q279)</f>
        <v>343501.8</v>
      </c>
      <c r="Q280" s="1014"/>
    </row>
    <row r="281" spans="2:17" x14ac:dyDescent="0.25">
      <c r="B281" s="186"/>
      <c r="C281" s="187"/>
      <c r="D281" s="187"/>
      <c r="E281" s="187"/>
      <c r="F281" s="187"/>
      <c r="G281" s="187"/>
      <c r="H281" s="187"/>
      <c r="I281" s="187"/>
      <c r="J281" s="187"/>
      <c r="K281" s="187"/>
      <c r="L281" s="340"/>
      <c r="M281" s="341"/>
      <c r="N281" s="340"/>
      <c r="O281" s="341"/>
      <c r="P281" s="340"/>
      <c r="Q281" s="345"/>
    </row>
    <row r="282" spans="2:17" x14ac:dyDescent="0.25">
      <c r="B282" s="201"/>
      <c r="C282" s="202" t="s">
        <v>412</v>
      </c>
      <c r="D282" s="200"/>
      <c r="E282" s="200"/>
      <c r="F282" s="200"/>
      <c r="G282" s="200"/>
      <c r="H282" s="200"/>
      <c r="I282" s="200"/>
      <c r="J282" s="200"/>
      <c r="K282" s="200"/>
      <c r="L282" s="981"/>
      <c r="M282" s="982"/>
      <c r="N282" s="981"/>
      <c r="O282" s="982"/>
      <c r="P282" s="981"/>
      <c r="Q282" s="983"/>
    </row>
    <row r="283" spans="2:17" x14ac:dyDescent="0.25">
      <c r="B283" s="206"/>
      <c r="C283" s="231"/>
      <c r="D283" s="203" t="s">
        <v>140</v>
      </c>
      <c r="E283" s="203" t="str">
        <f>'Insumos e serviços'!C35</f>
        <v>Diarista rep.</v>
      </c>
      <c r="F283" s="203"/>
      <c r="G283" s="203"/>
      <c r="H283" s="203"/>
      <c r="I283" s="203"/>
      <c r="J283" s="203"/>
      <c r="K283" s="203"/>
      <c r="L283" s="1000">
        <f>('Insumos e serviços'!F35/4.345)*'Insumos e serviços'!G35</f>
        <v>0</v>
      </c>
      <c r="M283" s="1015"/>
      <c r="N283" s="1000">
        <f>L283*4.345</f>
        <v>0</v>
      </c>
      <c r="O283" s="1015"/>
      <c r="P283" s="1000">
        <f>N283*12</f>
        <v>0</v>
      </c>
      <c r="Q283" s="1001"/>
    </row>
    <row r="284" spans="2:17" x14ac:dyDescent="0.25">
      <c r="B284" s="1034" t="s">
        <v>808</v>
      </c>
      <c r="C284" s="1035"/>
      <c r="D284" s="1035"/>
      <c r="E284" s="1035"/>
      <c r="F284" s="1035"/>
      <c r="G284" s="1035"/>
      <c r="H284" s="1035"/>
      <c r="I284" s="1035"/>
      <c r="J284" s="1035"/>
      <c r="K284" s="1035"/>
      <c r="L284" s="992">
        <f>SUM(L283)</f>
        <v>0</v>
      </c>
      <c r="M284" s="993"/>
      <c r="N284" s="992">
        <f>SUM(N283)</f>
        <v>0</v>
      </c>
      <c r="O284" s="993"/>
      <c r="P284" s="992">
        <f>SUM(P283)</f>
        <v>0</v>
      </c>
      <c r="Q284" s="994"/>
    </row>
    <row r="285" spans="2:17" x14ac:dyDescent="0.25">
      <c r="B285" s="210"/>
      <c r="C285" s="233"/>
      <c r="D285" s="207" t="s">
        <v>142</v>
      </c>
      <c r="E285" s="207" t="str">
        <f>'Insumos e serviços'!C146</f>
        <v>Diarista gest.</v>
      </c>
      <c r="F285" s="207"/>
      <c r="G285" s="207"/>
      <c r="H285" s="207"/>
      <c r="I285" s="207"/>
      <c r="J285" s="207"/>
      <c r="K285" s="207"/>
      <c r="L285" s="984">
        <f>(('Insumos e serviços'!F146/4.345)*'Insumos e serviços'!G146)</f>
        <v>0</v>
      </c>
      <c r="M285" s="985"/>
      <c r="N285" s="984">
        <f>L285*4.345</f>
        <v>0</v>
      </c>
      <c r="O285" s="985"/>
      <c r="P285" s="984">
        <f>N285*12</f>
        <v>0</v>
      </c>
      <c r="Q285" s="986"/>
    </row>
    <row r="286" spans="2:17" x14ac:dyDescent="0.25">
      <c r="B286" s="1036" t="s">
        <v>807</v>
      </c>
      <c r="C286" s="1037"/>
      <c r="D286" s="1037"/>
      <c r="E286" s="1037"/>
      <c r="F286" s="1037"/>
      <c r="G286" s="1037"/>
      <c r="H286" s="1037"/>
      <c r="I286" s="1037"/>
      <c r="J286" s="1037"/>
      <c r="K286" s="1037"/>
      <c r="L286" s="995">
        <f>SUM(L285)</f>
        <v>0</v>
      </c>
      <c r="M286" s="996"/>
      <c r="N286" s="995">
        <f>SUM(N285)</f>
        <v>0</v>
      </c>
      <c r="O286" s="996"/>
      <c r="P286" s="995">
        <f>SUM(P285)</f>
        <v>0</v>
      </c>
      <c r="Q286" s="997"/>
    </row>
    <row r="287" spans="2:17" x14ac:dyDescent="0.25">
      <c r="B287" s="214"/>
      <c r="C287" s="234"/>
      <c r="D287" s="211" t="s">
        <v>195</v>
      </c>
      <c r="E287" s="211" t="str">
        <f>'Insumos e serviços'!C210</f>
        <v>Diarista mater. (fim de semana)</v>
      </c>
      <c r="F287" s="211"/>
      <c r="G287" s="211"/>
      <c r="H287" s="211"/>
      <c r="I287" s="211"/>
      <c r="J287" s="211"/>
      <c r="K287" s="211"/>
      <c r="L287" s="1010">
        <f>(('Insumos e serviços'!F210/4.345)*'Insumos e serviços'!G210)</f>
        <v>19.281933256616803</v>
      </c>
      <c r="M287" s="1016"/>
      <c r="N287" s="1010">
        <f>L287*4.345</f>
        <v>83.78</v>
      </c>
      <c r="O287" s="1016"/>
      <c r="P287" s="1010">
        <f>N287*12</f>
        <v>1005.36</v>
      </c>
      <c r="Q287" s="1011"/>
    </row>
    <row r="288" spans="2:17" x14ac:dyDescent="0.25">
      <c r="B288" s="1038" t="s">
        <v>806</v>
      </c>
      <c r="C288" s="1039"/>
      <c r="D288" s="1039"/>
      <c r="E288" s="1039"/>
      <c r="F288" s="1039"/>
      <c r="G288" s="1039"/>
      <c r="H288" s="1039"/>
      <c r="I288" s="1039"/>
      <c r="J288" s="1039"/>
      <c r="K288" s="1039"/>
      <c r="L288" s="998">
        <f>SUM(L287)</f>
        <v>19.281933256616803</v>
      </c>
      <c r="M288" s="999"/>
      <c r="N288" s="998">
        <f>SUM(N287)</f>
        <v>83.78</v>
      </c>
      <c r="O288" s="999"/>
      <c r="P288" s="998">
        <f>SUM(P287)</f>
        <v>1005.36</v>
      </c>
      <c r="Q288" s="1027"/>
    </row>
    <row r="289" spans="2:17" x14ac:dyDescent="0.25">
      <c r="B289" s="215"/>
      <c r="C289" s="235"/>
      <c r="D289" s="216" t="s">
        <v>196</v>
      </c>
      <c r="E289" s="216" t="str">
        <f>'Insumos e serviços'!C266</f>
        <v>Diarista creche</v>
      </c>
      <c r="F289" s="216"/>
      <c r="G289" s="216"/>
      <c r="H289" s="216"/>
      <c r="I289" s="216"/>
      <c r="J289" s="216"/>
      <c r="K289" s="216"/>
      <c r="L289" s="1007">
        <f>(('Insumos e serviços'!F266/4.345)*'Insumos e serviços'!G266)</f>
        <v>0</v>
      </c>
      <c r="M289" s="1018"/>
      <c r="N289" s="1007">
        <f>L289*4.345</f>
        <v>0</v>
      </c>
      <c r="O289" s="1018"/>
      <c r="P289" s="1007">
        <f>N289*12</f>
        <v>0</v>
      </c>
      <c r="Q289" s="1008"/>
    </row>
    <row r="290" spans="2:17" x14ac:dyDescent="0.25">
      <c r="B290" s="1040" t="s">
        <v>805</v>
      </c>
      <c r="C290" s="1041"/>
      <c r="D290" s="1041"/>
      <c r="E290" s="1041"/>
      <c r="F290" s="1041"/>
      <c r="G290" s="1041"/>
      <c r="H290" s="1041"/>
      <c r="I290" s="1041"/>
      <c r="J290" s="1041"/>
      <c r="K290" s="1041"/>
      <c r="L290" s="1024">
        <f>SUM(L289)</f>
        <v>0</v>
      </c>
      <c r="M290" s="1025"/>
      <c r="N290" s="1024">
        <f>SUM(N289)</f>
        <v>0</v>
      </c>
      <c r="O290" s="1025"/>
      <c r="P290" s="1024">
        <f>SUM(P289)</f>
        <v>0</v>
      </c>
      <c r="Q290" s="1026"/>
    </row>
    <row r="291" spans="2:17" x14ac:dyDescent="0.25">
      <c r="B291" s="219"/>
      <c r="C291" s="236"/>
      <c r="D291" s="220" t="s">
        <v>197</v>
      </c>
      <c r="E291" s="220" t="str">
        <f>'Insumos e serviços'!C322</f>
        <v>Diarista cresc. term.</v>
      </c>
      <c r="F291" s="220"/>
      <c r="G291" s="220"/>
      <c r="H291" s="220"/>
      <c r="I291" s="220"/>
      <c r="J291" s="220"/>
      <c r="K291" s="220"/>
      <c r="L291" s="987">
        <f>(('Insumos e serviços'!F322/4.345)*'Insumos e serviços'!G322)</f>
        <v>0</v>
      </c>
      <c r="M291" s="1017"/>
      <c r="N291" s="987">
        <f>L291*4.345</f>
        <v>0</v>
      </c>
      <c r="O291" s="1017"/>
      <c r="P291" s="987">
        <f>N291*12</f>
        <v>0</v>
      </c>
      <c r="Q291" s="988"/>
    </row>
    <row r="292" spans="2:17" x14ac:dyDescent="0.25">
      <c r="B292" s="1030" t="s">
        <v>804</v>
      </c>
      <c r="C292" s="1031"/>
      <c r="D292" s="1031"/>
      <c r="E292" s="1031"/>
      <c r="F292" s="1031"/>
      <c r="G292" s="1031"/>
      <c r="H292" s="1031"/>
      <c r="I292" s="1031"/>
      <c r="J292" s="1031"/>
      <c r="K292" s="1031"/>
      <c r="L292" s="1021">
        <f>SUM(L291)</f>
        <v>0</v>
      </c>
      <c r="M292" s="1022"/>
      <c r="N292" s="1021">
        <f>SUM(N291)</f>
        <v>0</v>
      </c>
      <c r="O292" s="1022"/>
      <c r="P292" s="1021">
        <f>SUM(P291)</f>
        <v>0</v>
      </c>
      <c r="Q292" s="1023"/>
    </row>
    <row r="293" spans="2:17" x14ac:dyDescent="0.25">
      <c r="B293" s="263"/>
      <c r="C293" s="264"/>
      <c r="D293" s="264" t="s">
        <v>140</v>
      </c>
      <c r="E293" s="264" t="str">
        <f>'Insumos e serviços'!C362</f>
        <v>Consultor técnico</v>
      </c>
      <c r="F293" s="264"/>
      <c r="G293" s="264"/>
      <c r="H293" s="264"/>
      <c r="I293" s="264"/>
      <c r="J293" s="264"/>
      <c r="K293" s="264"/>
      <c r="L293" s="989">
        <f>(('Insumos e serviços'!F362/4.345)*'Insumos e serviços'!G362)</f>
        <v>183.03797468354429</v>
      </c>
      <c r="M293" s="991"/>
      <c r="N293" s="989">
        <f>L293*4.345</f>
        <v>795.3</v>
      </c>
      <c r="O293" s="991"/>
      <c r="P293" s="989">
        <f>N293*12</f>
        <v>9543.5999999999985</v>
      </c>
      <c r="Q293" s="990"/>
    </row>
    <row r="294" spans="2:17" x14ac:dyDescent="0.25">
      <c r="B294" s="263"/>
      <c r="C294" s="264"/>
      <c r="D294" s="264" t="s">
        <v>142</v>
      </c>
      <c r="E294" s="264" t="str">
        <f>'Insumos e serviços'!C363</f>
        <v>Diarista granja</v>
      </c>
      <c r="F294" s="264"/>
      <c r="G294" s="264"/>
      <c r="H294" s="264"/>
      <c r="I294" s="264"/>
      <c r="J294" s="264"/>
      <c r="K294" s="264"/>
      <c r="L294" s="989">
        <f>(('Insumos e serviços'!F363/4)*'Insumos e serviços'!G363)</f>
        <v>0</v>
      </c>
      <c r="M294" s="991"/>
      <c r="N294" s="989">
        <f>L294*4</f>
        <v>0</v>
      </c>
      <c r="O294" s="991"/>
      <c r="P294" s="989">
        <f>N294*12</f>
        <v>0</v>
      </c>
      <c r="Q294" s="990"/>
    </row>
    <row r="295" spans="2:17" x14ac:dyDescent="0.25">
      <c r="B295" s="1032" t="s">
        <v>422</v>
      </c>
      <c r="C295" s="1033"/>
      <c r="D295" s="1033"/>
      <c r="E295" s="1033"/>
      <c r="F295" s="1033"/>
      <c r="G295" s="1033"/>
      <c r="H295" s="1033"/>
      <c r="I295" s="1033"/>
      <c r="J295" s="1033"/>
      <c r="K295" s="1084"/>
      <c r="L295" s="1012">
        <f>SUM(L293:M294)</f>
        <v>183.03797468354429</v>
      </c>
      <c r="M295" s="1013"/>
      <c r="N295" s="1012">
        <f>SUM(N293:O294)</f>
        <v>795.3</v>
      </c>
      <c r="O295" s="1013"/>
      <c r="P295" s="1012">
        <f>SUM(P293:Q294)</f>
        <v>9543.5999999999985</v>
      </c>
      <c r="Q295" s="1014"/>
    </row>
    <row r="296" spans="2:17" x14ac:dyDescent="0.25">
      <c r="B296" s="1085" t="s">
        <v>414</v>
      </c>
      <c r="C296" s="1086"/>
      <c r="D296" s="1086"/>
      <c r="E296" s="1086"/>
      <c r="F296" s="1086"/>
      <c r="G296" s="1086"/>
      <c r="H296" s="1086"/>
      <c r="I296" s="1086"/>
      <c r="J296" s="1086"/>
      <c r="K296" s="1086"/>
      <c r="L296" s="1055">
        <f>SUM(L254,L260,L264,L268,L272,L280,L284,L286,L288,L290,L292,L295)</f>
        <v>21314.84925201381</v>
      </c>
      <c r="M296" s="1058"/>
      <c r="N296" s="1055">
        <f>SUM(N254,N260,N264,N268,N272,N280,N284,N286,N288,N290,N292,N295)</f>
        <v>92613.02</v>
      </c>
      <c r="O296" s="1058"/>
      <c r="P296" s="1055">
        <f>SUM(P254,P260,P264,P268,P272,P280,P284,P286,P288,P290,P292,P295)</f>
        <v>1111356.24</v>
      </c>
      <c r="Q296" s="1056"/>
    </row>
    <row r="297" spans="2:17" x14ac:dyDescent="0.25">
      <c r="B297" s="201"/>
      <c r="C297" s="200"/>
      <c r="D297" s="200"/>
      <c r="E297" s="200"/>
      <c r="F297" s="200"/>
      <c r="G297" s="200"/>
      <c r="H297" s="200"/>
      <c r="I297" s="200"/>
      <c r="J297" s="200"/>
      <c r="K297" s="241"/>
      <c r="L297" s="981"/>
      <c r="M297" s="982"/>
      <c r="N297" s="981"/>
      <c r="O297" s="982"/>
      <c r="P297" s="981"/>
      <c r="Q297" s="983"/>
    </row>
    <row r="298" spans="2:17" x14ac:dyDescent="0.25">
      <c r="B298" s="257" t="s">
        <v>417</v>
      </c>
      <c r="C298" s="259"/>
      <c r="D298" s="259"/>
      <c r="E298" s="259"/>
      <c r="F298" s="259"/>
      <c r="G298" s="259"/>
      <c r="H298" s="259"/>
      <c r="I298" s="259"/>
      <c r="J298" s="259"/>
      <c r="K298" s="259"/>
      <c r="L298" s="1019"/>
      <c r="M298" s="1052"/>
      <c r="N298" s="1019"/>
      <c r="O298" s="1052"/>
      <c r="P298" s="1019"/>
      <c r="Q298" s="1020"/>
    </row>
    <row r="299" spans="2:17" x14ac:dyDescent="0.25">
      <c r="B299" s="201"/>
      <c r="C299" s="202" t="s">
        <v>415</v>
      </c>
      <c r="D299" s="200"/>
      <c r="E299" s="200"/>
      <c r="F299" s="200"/>
      <c r="G299" s="200"/>
      <c r="H299" s="200"/>
      <c r="I299" s="200"/>
      <c r="J299" s="200"/>
      <c r="K299" s="200"/>
      <c r="L299" s="981"/>
      <c r="M299" s="982"/>
      <c r="N299" s="981"/>
      <c r="O299" s="982"/>
      <c r="P299" s="981"/>
      <c r="Q299" s="983"/>
    </row>
    <row r="300" spans="2:17" x14ac:dyDescent="0.25">
      <c r="B300" s="263"/>
      <c r="C300" s="264"/>
      <c r="D300" s="264" t="s">
        <v>132</v>
      </c>
      <c r="E300" s="264" t="str">
        <f>'Caracterização do sistema'!C51</f>
        <v>Telefonia</v>
      </c>
      <c r="F300" s="264"/>
      <c r="G300" s="264"/>
      <c r="H300" s="264"/>
      <c r="I300" s="264"/>
      <c r="J300" s="264"/>
      <c r="K300" s="264"/>
      <c r="L300" s="989">
        <f>'Caracterização do sistema'!L51/4.345</f>
        <v>11.776754890678943</v>
      </c>
      <c r="M300" s="991"/>
      <c r="N300" s="989">
        <f>L300*4.345</f>
        <v>51.17</v>
      </c>
      <c r="O300" s="991"/>
      <c r="P300" s="989">
        <f>N300*12</f>
        <v>614.04</v>
      </c>
      <c r="Q300" s="990"/>
    </row>
    <row r="301" spans="2:17" x14ac:dyDescent="0.25">
      <c r="B301" s="263"/>
      <c r="C301" s="264"/>
      <c r="D301" s="264" t="s">
        <v>155</v>
      </c>
      <c r="E301" s="264" t="str">
        <f>'Caracterização do sistema'!C52</f>
        <v>Internet</v>
      </c>
      <c r="F301" s="264"/>
      <c r="G301" s="264"/>
      <c r="H301" s="264"/>
      <c r="I301" s="264"/>
      <c r="J301" s="264"/>
      <c r="K301" s="264"/>
      <c r="L301" s="989">
        <f>'Caracterização do sistema'!L52/4.345</f>
        <v>46.006904487917147</v>
      </c>
      <c r="M301" s="991"/>
      <c r="N301" s="989">
        <f>L301*4.345</f>
        <v>199.9</v>
      </c>
      <c r="O301" s="991"/>
      <c r="P301" s="989">
        <f>N301*12</f>
        <v>2398.8000000000002</v>
      </c>
      <c r="Q301" s="990"/>
    </row>
    <row r="302" spans="2:17" ht="42.75" customHeight="1" x14ac:dyDescent="0.25">
      <c r="B302" s="1087" t="s">
        <v>416</v>
      </c>
      <c r="C302" s="1088"/>
      <c r="D302" s="1088"/>
      <c r="E302" s="1088"/>
      <c r="F302" s="1088"/>
      <c r="G302" s="1088"/>
      <c r="H302" s="1088"/>
      <c r="I302" s="1088"/>
      <c r="J302" s="1088"/>
      <c r="K302" s="1089"/>
      <c r="L302" s="1012">
        <f>SUM(L300:M301)</f>
        <v>57.783659378596091</v>
      </c>
      <c r="M302" s="1013"/>
      <c r="N302" s="1012">
        <f>SUM(N300:O301)</f>
        <v>251.07</v>
      </c>
      <c r="O302" s="1013"/>
      <c r="P302" s="1012">
        <f>SUM(P300:Q301)</f>
        <v>3012.84</v>
      </c>
      <c r="Q302" s="1014"/>
    </row>
    <row r="303" spans="2:17" x14ac:dyDescent="0.25">
      <c r="B303" s="265"/>
      <c r="C303" s="266"/>
      <c r="D303" s="266"/>
      <c r="E303" s="266"/>
      <c r="F303" s="266"/>
      <c r="G303" s="266"/>
      <c r="H303" s="266"/>
      <c r="I303" s="266"/>
      <c r="J303" s="266"/>
      <c r="K303" s="266"/>
      <c r="L303" s="340"/>
      <c r="M303" s="341"/>
      <c r="N303" s="340"/>
      <c r="O303" s="341"/>
      <c r="P303" s="340"/>
      <c r="Q303" s="345"/>
    </row>
    <row r="304" spans="2:17" x14ac:dyDescent="0.25">
      <c r="B304" s="201"/>
      <c r="C304" s="202" t="s">
        <v>841</v>
      </c>
      <c r="D304" s="200"/>
      <c r="E304" s="200"/>
      <c r="F304" s="200"/>
      <c r="G304" s="200"/>
      <c r="H304" s="200"/>
      <c r="I304" s="200"/>
      <c r="J304" s="200"/>
      <c r="K304" s="200"/>
      <c r="L304" s="981"/>
      <c r="M304" s="982"/>
      <c r="N304" s="981"/>
      <c r="O304" s="982"/>
      <c r="P304" s="981"/>
      <c r="Q304" s="983"/>
    </row>
    <row r="305" spans="2:17" x14ac:dyDescent="0.25">
      <c r="B305" s="263"/>
      <c r="C305" s="264"/>
      <c r="D305" s="264" t="s">
        <v>140</v>
      </c>
      <c r="E305" s="264" t="str">
        <f>'Caracterização do sistema'!C47</f>
        <v>Energia elétrica (tarifa rural)</v>
      </c>
      <c r="F305" s="264"/>
      <c r="G305" s="264"/>
      <c r="H305" s="264"/>
      <c r="I305" s="264"/>
      <c r="J305" s="264"/>
      <c r="K305" s="264"/>
      <c r="L305" s="989">
        <f>('Caracterização do sistema'!L47/4.345)</f>
        <v>4900.7157652474116</v>
      </c>
      <c r="M305" s="991"/>
      <c r="N305" s="989">
        <f>L305*4.345</f>
        <v>21293.61</v>
      </c>
      <c r="O305" s="991"/>
      <c r="P305" s="989">
        <f>N305*12</f>
        <v>255523.32</v>
      </c>
      <c r="Q305" s="990"/>
    </row>
    <row r="306" spans="2:17" x14ac:dyDescent="0.25">
      <c r="B306" s="1087" t="s">
        <v>418</v>
      </c>
      <c r="C306" s="1088"/>
      <c r="D306" s="1088"/>
      <c r="E306" s="1088"/>
      <c r="F306" s="1088"/>
      <c r="G306" s="1088"/>
      <c r="H306" s="1088"/>
      <c r="I306" s="1088"/>
      <c r="J306" s="1088"/>
      <c r="K306" s="1089"/>
      <c r="L306" s="1012">
        <f>SUM(L305)</f>
        <v>4900.7157652474116</v>
      </c>
      <c r="M306" s="1013"/>
      <c r="N306" s="1012">
        <f>SUM(N305)</f>
        <v>21293.61</v>
      </c>
      <c r="O306" s="1013"/>
      <c r="P306" s="1012">
        <f>SUM(P305)</f>
        <v>255523.32</v>
      </c>
      <c r="Q306" s="1014"/>
    </row>
    <row r="307" spans="2:17" x14ac:dyDescent="0.25">
      <c r="B307" s="201"/>
      <c r="C307" s="200"/>
      <c r="D307" s="200"/>
      <c r="E307" s="200"/>
      <c r="F307" s="200"/>
      <c r="G307" s="200"/>
      <c r="H307" s="200"/>
      <c r="I307" s="200"/>
      <c r="J307" s="200"/>
      <c r="K307" s="200"/>
      <c r="L307" s="981"/>
      <c r="M307" s="982"/>
      <c r="N307" s="981"/>
      <c r="O307" s="982"/>
      <c r="P307" s="981"/>
      <c r="Q307" s="983"/>
    </row>
    <row r="308" spans="2:17" x14ac:dyDescent="0.25">
      <c r="B308" s="201"/>
      <c r="C308" s="202" t="s">
        <v>419</v>
      </c>
      <c r="D308" s="200"/>
      <c r="E308" s="200"/>
      <c r="F308" s="200"/>
      <c r="G308" s="200"/>
      <c r="H308" s="200"/>
      <c r="I308" s="200"/>
      <c r="J308" s="200"/>
      <c r="K308" s="200"/>
      <c r="L308" s="981"/>
      <c r="M308" s="982"/>
      <c r="N308" s="981"/>
      <c r="O308" s="982"/>
      <c r="P308" s="981"/>
      <c r="Q308" s="983"/>
    </row>
    <row r="309" spans="2:17" x14ac:dyDescent="0.25">
      <c r="B309" s="263"/>
      <c r="C309" s="264"/>
      <c r="D309" s="264" t="s">
        <v>251</v>
      </c>
      <c r="E309" s="264" t="str">
        <f>'Caracterização do sistema'!C56</f>
        <v xml:space="preserve">Gasolina </v>
      </c>
      <c r="F309" s="264"/>
      <c r="G309" s="264"/>
      <c r="H309" s="264"/>
      <c r="I309" s="264"/>
      <c r="J309" s="264"/>
      <c r="K309" s="264"/>
      <c r="L309" s="989">
        <f>('Caracterização do sistema'!L56/4.345)</f>
        <v>99.240506329113927</v>
      </c>
      <c r="M309" s="991"/>
      <c r="N309" s="989">
        <f>L309*4.345</f>
        <v>431.2</v>
      </c>
      <c r="O309" s="991"/>
      <c r="P309" s="989">
        <f>N309*12</f>
        <v>5174.3999999999996</v>
      </c>
      <c r="Q309" s="990"/>
    </row>
    <row r="310" spans="2:17" x14ac:dyDescent="0.25">
      <c r="B310" s="263"/>
      <c r="C310" s="264"/>
      <c r="D310" s="264" t="s">
        <v>257</v>
      </c>
      <c r="E310" s="264" t="str">
        <f>'Caracterização do sistema'!C57</f>
        <v xml:space="preserve">Diesel </v>
      </c>
      <c r="F310" s="264"/>
      <c r="G310" s="264"/>
      <c r="H310" s="264"/>
      <c r="I310" s="264"/>
      <c r="J310" s="264"/>
      <c r="K310" s="264"/>
      <c r="L310" s="989">
        <f>('Caracterização do sistema'!L57/4.345)</f>
        <v>195.62715765247412</v>
      </c>
      <c r="M310" s="991"/>
      <c r="N310" s="989">
        <f>L310*4.345</f>
        <v>850</v>
      </c>
      <c r="O310" s="991"/>
      <c r="P310" s="989">
        <f>N310*12</f>
        <v>10200</v>
      </c>
      <c r="Q310" s="990"/>
    </row>
    <row r="311" spans="2:17" x14ac:dyDescent="0.25">
      <c r="B311" s="263"/>
      <c r="C311" s="264"/>
      <c r="D311" s="264" t="s">
        <v>259</v>
      </c>
      <c r="E311" s="264" t="str">
        <f>'Caracterização do sistema'!C58</f>
        <v>Álcool</v>
      </c>
      <c r="F311" s="264"/>
      <c r="G311" s="264"/>
      <c r="H311" s="264"/>
      <c r="I311" s="264"/>
      <c r="J311" s="264"/>
      <c r="K311" s="264"/>
      <c r="L311" s="989">
        <f>('Caracterização do sistema'!L58/4.345)</f>
        <v>107.71001150747986</v>
      </c>
      <c r="M311" s="991"/>
      <c r="N311" s="989">
        <f>L311*4.345</f>
        <v>468</v>
      </c>
      <c r="O311" s="991"/>
      <c r="P311" s="989">
        <f>N311*12</f>
        <v>5616</v>
      </c>
      <c r="Q311" s="990"/>
    </row>
    <row r="312" spans="2:17" x14ac:dyDescent="0.25">
      <c r="B312" s="1087" t="s">
        <v>424</v>
      </c>
      <c r="C312" s="1088"/>
      <c r="D312" s="1088"/>
      <c r="E312" s="1088"/>
      <c r="F312" s="1088"/>
      <c r="G312" s="1088"/>
      <c r="H312" s="1088"/>
      <c r="I312" s="1088"/>
      <c r="J312" s="1088"/>
      <c r="K312" s="1089"/>
      <c r="L312" s="1012">
        <f>SUM(L309:M311)</f>
        <v>402.57767548906793</v>
      </c>
      <c r="M312" s="1013"/>
      <c r="N312" s="1012">
        <f>SUM(N309:O311)</f>
        <v>1749.2</v>
      </c>
      <c r="O312" s="1013"/>
      <c r="P312" s="1012">
        <f>SUM(P309:Q311)</f>
        <v>20990.400000000001</v>
      </c>
      <c r="Q312" s="1014"/>
    </row>
    <row r="313" spans="2:17" ht="77.25" customHeight="1" x14ac:dyDescent="0.25">
      <c r="B313" s="1090" t="s">
        <v>425</v>
      </c>
      <c r="C313" s="1091"/>
      <c r="D313" s="1091"/>
      <c r="E313" s="1091"/>
      <c r="F313" s="1091"/>
      <c r="G313" s="1091"/>
      <c r="H313" s="1091"/>
      <c r="I313" s="1091"/>
      <c r="J313" s="1091"/>
      <c r="K313" s="1091"/>
      <c r="L313" s="1053">
        <f>SUM(L302,L306,L312)</f>
        <v>5361.0771001150752</v>
      </c>
      <c r="M313" s="1057"/>
      <c r="N313" s="1053">
        <f>SUM(N302,N306,N312)</f>
        <v>23293.88</v>
      </c>
      <c r="O313" s="1057"/>
      <c r="P313" s="1053">
        <f>SUM(P302,P306,P312)</f>
        <v>279526.56</v>
      </c>
      <c r="Q313" s="1054"/>
    </row>
    <row r="314" spans="2:17" x14ac:dyDescent="0.25">
      <c r="B314" s="201"/>
      <c r="C314" s="200"/>
      <c r="D314" s="200"/>
      <c r="E314" s="200"/>
      <c r="F314" s="200"/>
      <c r="G314" s="200"/>
      <c r="H314" s="200"/>
      <c r="I314" s="200"/>
      <c r="J314" s="200"/>
      <c r="K314" s="241"/>
      <c r="L314" s="981"/>
      <c r="M314" s="982"/>
      <c r="N314" s="981"/>
      <c r="O314" s="982"/>
      <c r="P314" s="981"/>
      <c r="Q314" s="983"/>
    </row>
    <row r="315" spans="2:17" x14ac:dyDescent="0.25">
      <c r="B315" s="257" t="s">
        <v>426</v>
      </c>
      <c r="C315" s="259"/>
      <c r="D315" s="259"/>
      <c r="E315" s="259"/>
      <c r="F315" s="259"/>
      <c r="G315" s="259"/>
      <c r="H315" s="259"/>
      <c r="I315" s="259"/>
      <c r="J315" s="259"/>
      <c r="K315" s="259"/>
      <c r="L315" s="1019"/>
      <c r="M315" s="1052"/>
      <c r="N315" s="1019"/>
      <c r="O315" s="1052"/>
      <c r="P315" s="1019"/>
      <c r="Q315" s="1020"/>
    </row>
    <row r="316" spans="2:17" x14ac:dyDescent="0.25">
      <c r="B316" s="198"/>
      <c r="C316" s="200"/>
      <c r="D316" s="200"/>
      <c r="E316" s="200"/>
      <c r="F316" s="200"/>
      <c r="G316" s="200"/>
      <c r="H316" s="200"/>
      <c r="I316" s="200"/>
      <c r="J316" s="200"/>
      <c r="K316" s="200"/>
      <c r="L316" s="340"/>
      <c r="M316" s="341"/>
      <c r="N316" s="340"/>
      <c r="O316" s="341"/>
      <c r="P316" s="340"/>
      <c r="Q316" s="345"/>
    </row>
    <row r="317" spans="2:17" x14ac:dyDescent="0.25">
      <c r="B317" s="201"/>
      <c r="C317" s="202" t="s">
        <v>427</v>
      </c>
      <c r="D317" s="200"/>
      <c r="E317" s="200"/>
      <c r="F317" s="200"/>
      <c r="G317" s="200"/>
      <c r="H317" s="200"/>
      <c r="I317" s="200"/>
      <c r="J317" s="200"/>
      <c r="K317" s="200"/>
      <c r="L317" s="981"/>
      <c r="M317" s="982"/>
      <c r="N317" s="981"/>
      <c r="O317" s="982"/>
      <c r="P317" s="981"/>
      <c r="Q317" s="983"/>
    </row>
    <row r="318" spans="2:17" x14ac:dyDescent="0.25">
      <c r="B318" s="206"/>
      <c r="C318" s="203"/>
      <c r="D318" s="203" t="s">
        <v>132</v>
      </c>
      <c r="E318" s="203" t="str">
        <f>'Inventário Físico'!$B$5</f>
        <v xml:space="preserve">Setor de reposição </v>
      </c>
      <c r="F318" s="203"/>
      <c r="G318" s="203"/>
      <c r="H318" s="203"/>
      <c r="I318" s="203"/>
      <c r="J318" s="203"/>
      <c r="K318" s="203"/>
      <c r="L318" s="1000">
        <f>'Inventário Físico'!M5</f>
        <v>236.91779363859337</v>
      </c>
      <c r="M318" s="1015"/>
      <c r="N318" s="1000">
        <f>L318*4.345</f>
        <v>1029.4078133596881</v>
      </c>
      <c r="O318" s="1015"/>
      <c r="P318" s="1000">
        <f>N318*12</f>
        <v>12352.893760316258</v>
      </c>
      <c r="Q318" s="1001"/>
    </row>
    <row r="319" spans="2:17" x14ac:dyDescent="0.25">
      <c r="B319" s="1092" t="s">
        <v>532</v>
      </c>
      <c r="C319" s="1093"/>
      <c r="D319" s="1093"/>
      <c r="E319" s="1093"/>
      <c r="F319" s="1093"/>
      <c r="G319" s="1093"/>
      <c r="H319" s="1093"/>
      <c r="I319" s="1093"/>
      <c r="J319" s="1093"/>
      <c r="K319" s="1093"/>
      <c r="L319" s="992">
        <f>SUM(L318)</f>
        <v>236.91779363859337</v>
      </c>
      <c r="M319" s="993"/>
      <c r="N319" s="992">
        <f>SUM(N318)</f>
        <v>1029.4078133596881</v>
      </c>
      <c r="O319" s="993"/>
      <c r="P319" s="992">
        <f>SUM(P318)</f>
        <v>12352.893760316258</v>
      </c>
      <c r="Q319" s="994"/>
    </row>
    <row r="320" spans="2:17" x14ac:dyDescent="0.25">
      <c r="B320" s="210"/>
      <c r="C320" s="207"/>
      <c r="D320" s="207" t="s">
        <v>155</v>
      </c>
      <c r="E320" s="207" t="str">
        <f>'Inventário Físico'!$B$6</f>
        <v>Setor de reprodução (laboratório; central de inseminação)</v>
      </c>
      <c r="F320" s="207"/>
      <c r="G320" s="207"/>
      <c r="H320" s="207"/>
      <c r="I320" s="207"/>
      <c r="J320" s="207"/>
      <c r="K320" s="207"/>
      <c r="L320" s="984">
        <f>'Inventário Físico'!M6</f>
        <v>43.235488628365516</v>
      </c>
      <c r="M320" s="985"/>
      <c r="N320" s="984">
        <f>L320*4.345</f>
        <v>187.85819809024815</v>
      </c>
      <c r="O320" s="985"/>
      <c r="P320" s="984">
        <f>N320*12</f>
        <v>2254.2983770829778</v>
      </c>
      <c r="Q320" s="986"/>
    </row>
    <row r="321" spans="2:17" x14ac:dyDescent="0.25">
      <c r="B321" s="210"/>
      <c r="C321" s="207"/>
      <c r="D321" s="207" t="s">
        <v>160</v>
      </c>
      <c r="E321" s="207" t="str">
        <f>'Inventário Físico'!$B$7</f>
        <v>Instalações cachaços</v>
      </c>
      <c r="F321" s="207"/>
      <c r="G321" s="207"/>
      <c r="H321" s="207"/>
      <c r="I321" s="207"/>
      <c r="J321" s="207"/>
      <c r="K321" s="207"/>
      <c r="L321" s="984">
        <f>'Inventário Físico'!M7</f>
        <v>56.806337967393453</v>
      </c>
      <c r="M321" s="985"/>
      <c r="N321" s="984">
        <f>L321*4.345</f>
        <v>246.82353846832453</v>
      </c>
      <c r="O321" s="985"/>
      <c r="P321" s="984">
        <f>N321*12</f>
        <v>2961.8824616198945</v>
      </c>
      <c r="Q321" s="986"/>
    </row>
    <row r="322" spans="2:17" x14ac:dyDescent="0.25">
      <c r="B322" s="210"/>
      <c r="C322" s="207"/>
      <c r="D322" s="207" t="s">
        <v>161</v>
      </c>
      <c r="E322" s="207" t="str">
        <f>'Inventário Físico'!B8</f>
        <v>Instalações rufiões</v>
      </c>
      <c r="F322" s="207"/>
      <c r="G322" s="207"/>
      <c r="H322" s="207"/>
      <c r="I322" s="207"/>
      <c r="J322" s="207"/>
      <c r="K322" s="207"/>
      <c r="L322" s="984">
        <f>'Inventário Físico'!M8</f>
        <v>71.007922459241811</v>
      </c>
      <c r="M322" s="985"/>
      <c r="N322" s="984">
        <f>L322*4.345</f>
        <v>308.52942308540565</v>
      </c>
      <c r="O322" s="985"/>
      <c r="P322" s="984">
        <f>N322*12</f>
        <v>3702.3530770248681</v>
      </c>
      <c r="Q322" s="986"/>
    </row>
    <row r="323" spans="2:17" x14ac:dyDescent="0.25">
      <c r="B323" s="210"/>
      <c r="C323" s="207"/>
      <c r="D323" s="207" t="s">
        <v>167</v>
      </c>
      <c r="E323" s="207" t="str">
        <f>'Inventário Físico'!B9</f>
        <v xml:space="preserve">Setor de gestação </v>
      </c>
      <c r="F323" s="207"/>
      <c r="G323" s="207"/>
      <c r="H323" s="207"/>
      <c r="I323" s="207"/>
      <c r="J323" s="207"/>
      <c r="K323" s="207"/>
      <c r="L323" s="984">
        <f>'Inventário Físico'!M9</f>
        <v>1845.6546731255635</v>
      </c>
      <c r="M323" s="985"/>
      <c r="N323" s="984">
        <f>L323*4.345</f>
        <v>8019.3695547305724</v>
      </c>
      <c r="O323" s="985"/>
      <c r="P323" s="984">
        <f>N323*12</f>
        <v>96232.434656766869</v>
      </c>
      <c r="Q323" s="986"/>
    </row>
    <row r="324" spans="2:17" x14ac:dyDescent="0.25">
      <c r="B324" s="210"/>
      <c r="C324" s="207"/>
      <c r="D324" s="207" t="s">
        <v>170</v>
      </c>
      <c r="E324" s="207" t="str">
        <f>'Inventário Físico'!B10</f>
        <v>Instalações gestação coletiva</v>
      </c>
      <c r="F324" s="207"/>
      <c r="G324" s="207"/>
      <c r="H324" s="207"/>
      <c r="I324" s="207"/>
      <c r="J324" s="207"/>
      <c r="K324" s="207"/>
      <c r="L324" s="984">
        <f>'Inventário Físico'!M10</f>
        <v>1157.0173503966985</v>
      </c>
      <c r="M324" s="985"/>
      <c r="N324" s="984">
        <f>L324*4.345</f>
        <v>5027.2403874736547</v>
      </c>
      <c r="O324" s="985"/>
      <c r="P324" s="984">
        <f>N324*12</f>
        <v>60326.884649683852</v>
      </c>
      <c r="Q324" s="986"/>
    </row>
    <row r="325" spans="2:17" x14ac:dyDescent="0.25">
      <c r="B325" s="1036" t="s">
        <v>531</v>
      </c>
      <c r="C325" s="1037"/>
      <c r="D325" s="1037"/>
      <c r="E325" s="1037"/>
      <c r="F325" s="1037"/>
      <c r="G325" s="1037"/>
      <c r="H325" s="1037"/>
      <c r="I325" s="1037"/>
      <c r="J325" s="1037"/>
      <c r="K325" s="1037"/>
      <c r="L325" s="995">
        <f>SUM(L320:M324)</f>
        <v>3173.7217725772625</v>
      </c>
      <c r="M325" s="996"/>
      <c r="N325" s="995">
        <f>SUM(N320:O324)</f>
        <v>13789.821101848207</v>
      </c>
      <c r="O325" s="996"/>
      <c r="P325" s="995">
        <f>SUM(P320:Q324)</f>
        <v>165477.85322217847</v>
      </c>
      <c r="Q325" s="997"/>
    </row>
    <row r="326" spans="2:17" x14ac:dyDescent="0.25">
      <c r="B326" s="214"/>
      <c r="C326" s="211"/>
      <c r="D326" s="211" t="s">
        <v>171</v>
      </c>
      <c r="E326" s="211" t="str">
        <f>'Inventário Físico'!B11</f>
        <v>Setor de maternidade</v>
      </c>
      <c r="F326" s="211"/>
      <c r="G326" s="211"/>
      <c r="H326" s="211"/>
      <c r="I326" s="211"/>
      <c r="J326" s="211"/>
      <c r="K326" s="211"/>
      <c r="L326" s="1010">
        <f>'Inventário Físico'!M11</f>
        <v>1354.8083029708218</v>
      </c>
      <c r="M326" s="1016"/>
      <c r="N326" s="1010">
        <f>L326*4.345</f>
        <v>5886.6420764082204</v>
      </c>
      <c r="O326" s="1016"/>
      <c r="P326" s="1010">
        <f>N326*12</f>
        <v>70639.704916898641</v>
      </c>
      <c r="Q326" s="1011"/>
    </row>
    <row r="327" spans="2:17" ht="31.5" customHeight="1" x14ac:dyDescent="0.25">
      <c r="B327" s="1038" t="s">
        <v>533</v>
      </c>
      <c r="C327" s="1039"/>
      <c r="D327" s="1039"/>
      <c r="E327" s="1039"/>
      <c r="F327" s="1039"/>
      <c r="G327" s="1039"/>
      <c r="H327" s="1039"/>
      <c r="I327" s="1039"/>
      <c r="J327" s="1039"/>
      <c r="K327" s="1039"/>
      <c r="L327" s="998">
        <f>SUM(L326)</f>
        <v>1354.8083029708218</v>
      </c>
      <c r="M327" s="999"/>
      <c r="N327" s="998">
        <f>SUM(N326)</f>
        <v>5886.6420764082204</v>
      </c>
      <c r="O327" s="999"/>
      <c r="P327" s="998">
        <f>SUM(P326)</f>
        <v>70639.704916898641</v>
      </c>
      <c r="Q327" s="1027"/>
    </row>
    <row r="328" spans="2:17" x14ac:dyDescent="0.25">
      <c r="B328" s="215"/>
      <c r="C328" s="216"/>
      <c r="D328" s="216" t="s">
        <v>174</v>
      </c>
      <c r="E328" s="216" t="str">
        <f>'Inventário Físico'!B12</f>
        <v xml:space="preserve">Setor de creche </v>
      </c>
      <c r="F328" s="216"/>
      <c r="G328" s="216"/>
      <c r="H328" s="216"/>
      <c r="I328" s="216"/>
      <c r="J328" s="216"/>
      <c r="K328" s="216"/>
      <c r="L328" s="1007">
        <f>'Inventário Físico'!M12</f>
        <v>2055.0275322423013</v>
      </c>
      <c r="M328" s="1018"/>
      <c r="N328" s="1007">
        <f>L328*4.345</f>
        <v>8929.0946275927981</v>
      </c>
      <c r="O328" s="1018"/>
      <c r="P328" s="1007">
        <f>N328*12</f>
        <v>107149.13553111357</v>
      </c>
      <c r="Q328" s="1008"/>
    </row>
    <row r="329" spans="2:17" x14ac:dyDescent="0.25">
      <c r="B329" s="1040" t="s">
        <v>534</v>
      </c>
      <c r="C329" s="1041"/>
      <c r="D329" s="1041"/>
      <c r="E329" s="1041"/>
      <c r="F329" s="1041"/>
      <c r="G329" s="1041"/>
      <c r="H329" s="1041"/>
      <c r="I329" s="1041"/>
      <c r="J329" s="1041"/>
      <c r="K329" s="1041"/>
      <c r="L329" s="1024">
        <f>SUM(L328)</f>
        <v>2055.0275322423013</v>
      </c>
      <c r="M329" s="1025"/>
      <c r="N329" s="1024">
        <f>SUM(N328)</f>
        <v>8929.0946275927981</v>
      </c>
      <c r="O329" s="1025"/>
      <c r="P329" s="1024">
        <f>SUM(P328)</f>
        <v>107149.13553111357</v>
      </c>
      <c r="Q329" s="1026"/>
    </row>
    <row r="330" spans="2:17" x14ac:dyDescent="0.25">
      <c r="B330" s="219"/>
      <c r="C330" s="220"/>
      <c r="D330" s="220" t="s">
        <v>179</v>
      </c>
      <c r="E330" s="220" t="str">
        <f>'Inventário Físico'!B13</f>
        <v xml:space="preserve">Setor de Crescimento e Terminação </v>
      </c>
      <c r="F330" s="220"/>
      <c r="G330" s="220"/>
      <c r="H330" s="220"/>
      <c r="I330" s="220"/>
      <c r="J330" s="220"/>
      <c r="K330" s="220"/>
      <c r="L330" s="987">
        <f>'Inventário Físico'!M13</f>
        <v>12521.887878677586</v>
      </c>
      <c r="M330" s="1017"/>
      <c r="N330" s="987">
        <f>L330*4.345</f>
        <v>54407.602832854107</v>
      </c>
      <c r="O330" s="1017"/>
      <c r="P330" s="987">
        <f>N330*12</f>
        <v>652891.23399424925</v>
      </c>
      <c r="Q330" s="988"/>
    </row>
    <row r="331" spans="2:17" x14ac:dyDescent="0.25">
      <c r="B331" s="1030" t="s">
        <v>535</v>
      </c>
      <c r="C331" s="1031"/>
      <c r="D331" s="1031"/>
      <c r="E331" s="1031"/>
      <c r="F331" s="1031"/>
      <c r="G331" s="1031"/>
      <c r="H331" s="1031"/>
      <c r="I331" s="1031"/>
      <c r="J331" s="1031"/>
      <c r="K331" s="1031"/>
      <c r="L331" s="1021">
        <f>SUM(L330)</f>
        <v>12521.887878677586</v>
      </c>
      <c r="M331" s="1022"/>
      <c r="N331" s="1021">
        <f>SUM(N330)</f>
        <v>54407.602832854107</v>
      </c>
      <c r="O331" s="1022"/>
      <c r="P331" s="1021">
        <f>SUM(P330)</f>
        <v>652891.23399424925</v>
      </c>
      <c r="Q331" s="1023"/>
    </row>
    <row r="332" spans="2:17" x14ac:dyDescent="0.25">
      <c r="B332" s="263"/>
      <c r="C332" s="264"/>
      <c r="D332" s="264" t="s">
        <v>180</v>
      </c>
      <c r="E332" s="264" t="str">
        <f>'Inventário Físico'!B14</f>
        <v>Escritório</v>
      </c>
      <c r="F332" s="264"/>
      <c r="G332" s="264"/>
      <c r="H332" s="264"/>
      <c r="I332" s="264"/>
      <c r="J332" s="264"/>
      <c r="K332" s="264"/>
      <c r="L332" s="989">
        <f>'Inventário Físico'!M14</f>
        <v>40.174213555440922</v>
      </c>
      <c r="M332" s="991"/>
      <c r="N332" s="989">
        <f t="shared" ref="N332:N339" si="14">L332*4.345</f>
        <v>174.55695789839081</v>
      </c>
      <c r="O332" s="991"/>
      <c r="P332" s="989">
        <f>N332*12</f>
        <v>2094.6834947806897</v>
      </c>
      <c r="Q332" s="990"/>
    </row>
    <row r="333" spans="2:17" x14ac:dyDescent="0.25">
      <c r="B333" s="263"/>
      <c r="C333" s="264"/>
      <c r="D333" s="264" t="s">
        <v>428</v>
      </c>
      <c r="E333" s="264" t="str">
        <f>'Inventário Físico'!B15</f>
        <v xml:space="preserve">Banheiros </v>
      </c>
      <c r="F333" s="264"/>
      <c r="G333" s="264"/>
      <c r="H333" s="264"/>
      <c r="I333" s="264"/>
      <c r="J333" s="264"/>
      <c r="K333" s="264"/>
      <c r="L333" s="989">
        <f>'Inventário Físico'!M15</f>
        <v>80.348427110881843</v>
      </c>
      <c r="M333" s="991"/>
      <c r="N333" s="989">
        <f t="shared" si="14"/>
        <v>349.11391579678161</v>
      </c>
      <c r="O333" s="991"/>
      <c r="P333" s="989">
        <f t="shared" ref="P333:P339" si="15">N333*12</f>
        <v>4189.3669895613793</v>
      </c>
      <c r="Q333" s="990"/>
    </row>
    <row r="334" spans="2:17" x14ac:dyDescent="0.25">
      <c r="B334" s="263"/>
      <c r="C334" s="264"/>
      <c r="D334" s="264" t="s">
        <v>429</v>
      </c>
      <c r="E334" s="264" t="str">
        <f>'Inventário Físico'!B16</f>
        <v xml:space="preserve">Cantina </v>
      </c>
      <c r="F334" s="264"/>
      <c r="G334" s="264"/>
      <c r="H334" s="264"/>
      <c r="I334" s="264"/>
      <c r="J334" s="264"/>
      <c r="K334" s="264"/>
      <c r="L334" s="989">
        <f>'Inventário Físico'!M16</f>
        <v>12.052264066632274</v>
      </c>
      <c r="M334" s="991"/>
      <c r="N334" s="989">
        <f t="shared" si="14"/>
        <v>52.367087369517229</v>
      </c>
      <c r="O334" s="991"/>
      <c r="P334" s="989">
        <f t="shared" si="15"/>
        <v>628.40504843420672</v>
      </c>
      <c r="Q334" s="990"/>
    </row>
    <row r="335" spans="2:17" x14ac:dyDescent="0.25">
      <c r="B335" s="263"/>
      <c r="C335" s="264"/>
      <c r="D335" s="264" t="s">
        <v>430</v>
      </c>
      <c r="E335" s="264" t="str">
        <f>'Inventário Físico'!B17</f>
        <v>Barracão</v>
      </c>
      <c r="F335" s="264"/>
      <c r="G335" s="264"/>
      <c r="H335" s="264"/>
      <c r="I335" s="264"/>
      <c r="J335" s="264"/>
      <c r="K335" s="264"/>
      <c r="L335" s="989">
        <f>'Inventário Físico'!M17</f>
        <v>160.69685422176369</v>
      </c>
      <c r="M335" s="991"/>
      <c r="N335" s="989">
        <f t="shared" si="14"/>
        <v>698.22783159356322</v>
      </c>
      <c r="O335" s="991"/>
      <c r="P335" s="989">
        <f t="shared" si="15"/>
        <v>8378.7339791227587</v>
      </c>
      <c r="Q335" s="990"/>
    </row>
    <row r="336" spans="2:17" x14ac:dyDescent="0.25">
      <c r="B336" s="263"/>
      <c r="C336" s="264"/>
      <c r="D336" s="264" t="s">
        <v>431</v>
      </c>
      <c r="E336" s="264" t="str">
        <f>'Inventário Físico'!B18</f>
        <v xml:space="preserve">Casas de funcionários </v>
      </c>
      <c r="F336" s="264"/>
      <c r="G336" s="264"/>
      <c r="H336" s="264"/>
      <c r="I336" s="264"/>
      <c r="J336" s="264"/>
      <c r="K336" s="264"/>
      <c r="L336" s="989">
        <f>'Inventário Físico'!M18</f>
        <v>1044.6858536828599</v>
      </c>
      <c r="M336" s="991"/>
      <c r="N336" s="989">
        <f t="shared" si="14"/>
        <v>4539.160034252026</v>
      </c>
      <c r="O336" s="991"/>
      <c r="P336" s="989">
        <f t="shared" si="15"/>
        <v>54469.920411024315</v>
      </c>
      <c r="Q336" s="990"/>
    </row>
    <row r="337" spans="2:17" x14ac:dyDescent="0.25">
      <c r="B337" s="263"/>
      <c r="C337" s="264"/>
      <c r="D337" s="264" t="s">
        <v>432</v>
      </c>
      <c r="E337" s="264" t="str">
        <f>'Inventário Físico'!B19</f>
        <v>Item 1</v>
      </c>
      <c r="F337" s="264"/>
      <c r="G337" s="264"/>
      <c r="H337" s="264"/>
      <c r="I337" s="264"/>
      <c r="J337" s="264"/>
      <c r="K337" s="264"/>
      <c r="L337" s="989">
        <f>'Inventário Físico'!M19</f>
        <v>0</v>
      </c>
      <c r="M337" s="991"/>
      <c r="N337" s="989">
        <f t="shared" si="14"/>
        <v>0</v>
      </c>
      <c r="O337" s="991"/>
      <c r="P337" s="989">
        <f t="shared" si="15"/>
        <v>0</v>
      </c>
      <c r="Q337" s="990"/>
    </row>
    <row r="338" spans="2:17" x14ac:dyDescent="0.25">
      <c r="B338" s="263"/>
      <c r="C338" s="264"/>
      <c r="D338" s="264" t="s">
        <v>433</v>
      </c>
      <c r="E338" s="264" t="str">
        <f>'Inventário Físico'!B20</f>
        <v>Item 2</v>
      </c>
      <c r="F338" s="264"/>
      <c r="G338" s="264"/>
      <c r="H338" s="264"/>
      <c r="I338" s="264"/>
      <c r="J338" s="264"/>
      <c r="K338" s="264"/>
      <c r="L338" s="989">
        <f>'Inventário Físico'!M20</f>
        <v>0</v>
      </c>
      <c r="M338" s="991"/>
      <c r="N338" s="989">
        <f t="shared" si="14"/>
        <v>0</v>
      </c>
      <c r="O338" s="991"/>
      <c r="P338" s="989">
        <f t="shared" si="15"/>
        <v>0</v>
      </c>
      <c r="Q338" s="990"/>
    </row>
    <row r="339" spans="2:17" x14ac:dyDescent="0.25">
      <c r="B339" s="263"/>
      <c r="C339" s="264"/>
      <c r="D339" s="264" t="s">
        <v>714</v>
      </c>
      <c r="E339" s="264" t="str">
        <f>'Inventário Físico'!B21</f>
        <v>Item 3</v>
      </c>
      <c r="F339" s="264"/>
      <c r="G339" s="264"/>
      <c r="H339" s="264"/>
      <c r="I339" s="264"/>
      <c r="J339" s="264"/>
      <c r="K339" s="264"/>
      <c r="L339" s="989">
        <f>'Inventário Físico'!M21</f>
        <v>0</v>
      </c>
      <c r="M339" s="991"/>
      <c r="N339" s="989">
        <f t="shared" si="14"/>
        <v>0</v>
      </c>
      <c r="O339" s="991"/>
      <c r="P339" s="989">
        <f t="shared" si="15"/>
        <v>0</v>
      </c>
      <c r="Q339" s="990"/>
    </row>
    <row r="340" spans="2:17" x14ac:dyDescent="0.25">
      <c r="B340" s="1032" t="s">
        <v>536</v>
      </c>
      <c r="C340" s="1033"/>
      <c r="D340" s="1033"/>
      <c r="E340" s="1033"/>
      <c r="F340" s="1033"/>
      <c r="G340" s="1033"/>
      <c r="H340" s="1033"/>
      <c r="I340" s="1033"/>
      <c r="J340" s="1033"/>
      <c r="K340" s="1084"/>
      <c r="L340" s="1012">
        <f>SUM(L332:M339)</f>
        <v>1337.9576126375787</v>
      </c>
      <c r="M340" s="1013"/>
      <c r="N340" s="1012">
        <f>SUM(N332:O339)</f>
        <v>5813.4258269102793</v>
      </c>
      <c r="O340" s="1013"/>
      <c r="P340" s="1012">
        <f>SUM(P332:Q339)</f>
        <v>69761.109922923351</v>
      </c>
      <c r="Q340" s="1014"/>
    </row>
    <row r="341" spans="2:17" x14ac:dyDescent="0.25">
      <c r="B341" s="186"/>
      <c r="C341" s="187"/>
      <c r="D341" s="187"/>
      <c r="E341" s="187"/>
      <c r="F341" s="187"/>
      <c r="G341" s="187"/>
      <c r="H341" s="187"/>
      <c r="I341" s="187"/>
      <c r="J341" s="187"/>
      <c r="K341" s="187"/>
      <c r="L341" s="340"/>
      <c r="M341" s="341"/>
      <c r="N341" s="340"/>
      <c r="O341" s="341"/>
      <c r="P341" s="340"/>
      <c r="Q341" s="345"/>
    </row>
    <row r="342" spans="2:17" x14ac:dyDescent="0.25">
      <c r="B342" s="201"/>
      <c r="C342" s="202" t="s">
        <v>434</v>
      </c>
      <c r="D342" s="200"/>
      <c r="E342" s="200"/>
      <c r="F342" s="200"/>
      <c r="G342" s="200"/>
      <c r="H342" s="200"/>
      <c r="I342" s="200"/>
      <c r="J342" s="200"/>
      <c r="K342" s="200"/>
      <c r="L342" s="981"/>
      <c r="M342" s="982"/>
      <c r="N342" s="981"/>
      <c r="O342" s="982"/>
      <c r="P342" s="981"/>
      <c r="Q342" s="983"/>
    </row>
    <row r="343" spans="2:17" x14ac:dyDescent="0.25">
      <c r="B343" s="206"/>
      <c r="C343" s="203"/>
      <c r="D343" s="203" t="s">
        <v>140</v>
      </c>
      <c r="E343" s="203" t="str">
        <f>'Inventário Físico'!B29</f>
        <v xml:space="preserve">Comedouros fêmeas reposição </v>
      </c>
      <c r="F343" s="203"/>
      <c r="G343" s="203"/>
      <c r="H343" s="203"/>
      <c r="I343" s="203"/>
      <c r="J343" s="203"/>
      <c r="K343" s="203"/>
      <c r="L343" s="1000">
        <f>'Inventário Físico'!M29</f>
        <v>76.395827619867717</v>
      </c>
      <c r="M343" s="1015"/>
      <c r="N343" s="1000">
        <f t="shared" ref="N343:N351" si="16">L343*4.345</f>
        <v>331.93987100832521</v>
      </c>
      <c r="O343" s="1015"/>
      <c r="P343" s="1000">
        <f>N343*12</f>
        <v>3983.2784520999026</v>
      </c>
      <c r="Q343" s="1001"/>
    </row>
    <row r="344" spans="2:17" x14ac:dyDescent="0.25">
      <c r="B344" s="206"/>
      <c r="C344" s="203"/>
      <c r="D344" s="203" t="s">
        <v>142</v>
      </c>
      <c r="E344" s="203" t="str">
        <f>'Inventário Físico'!B30</f>
        <v xml:space="preserve">Bebedouros fêmeas reposição </v>
      </c>
      <c r="F344" s="203"/>
      <c r="G344" s="203"/>
      <c r="H344" s="203"/>
      <c r="I344" s="203"/>
      <c r="J344" s="203"/>
      <c r="K344" s="203"/>
      <c r="L344" s="1000">
        <f>'Inventário Físico'!M30</f>
        <v>0.27784420773923257</v>
      </c>
      <c r="M344" s="1015"/>
      <c r="N344" s="1000">
        <f t="shared" si="16"/>
        <v>1.2072330826269655</v>
      </c>
      <c r="O344" s="1015"/>
      <c r="P344" s="1000">
        <f t="shared" ref="P344:P351" si="17">N344*12</f>
        <v>14.486796991523587</v>
      </c>
      <c r="Q344" s="1001"/>
    </row>
    <row r="345" spans="2:17" x14ac:dyDescent="0.25">
      <c r="B345" s="206"/>
      <c r="C345" s="203"/>
      <c r="D345" s="203" t="s">
        <v>195</v>
      </c>
      <c r="E345" s="203" t="str">
        <f>'Inventário Físico'!B31</f>
        <v>Conchas (reposição)</v>
      </c>
      <c r="F345" s="203"/>
      <c r="G345" s="203"/>
      <c r="H345" s="203"/>
      <c r="I345" s="203"/>
      <c r="J345" s="203"/>
      <c r="K345" s="203"/>
      <c r="L345" s="1000">
        <f>'Inventário Físico'!M31</f>
        <v>0.11583552123107844</v>
      </c>
      <c r="M345" s="1015"/>
      <c r="N345" s="1000">
        <f t="shared" si="16"/>
        <v>0.5033053397490358</v>
      </c>
      <c r="O345" s="1015"/>
      <c r="P345" s="1000">
        <f t="shared" si="17"/>
        <v>6.03966407698843</v>
      </c>
      <c r="Q345" s="1001"/>
    </row>
    <row r="346" spans="2:17" x14ac:dyDescent="0.25">
      <c r="B346" s="206"/>
      <c r="C346" s="203"/>
      <c r="D346" s="203" t="s">
        <v>196</v>
      </c>
      <c r="E346" s="203" t="str">
        <f>'Inventário Físico'!B32</f>
        <v>Carrinho para alimentação</v>
      </c>
      <c r="F346" s="203"/>
      <c r="G346" s="203"/>
      <c r="H346" s="203"/>
      <c r="I346" s="203"/>
      <c r="J346" s="203"/>
      <c r="K346" s="203"/>
      <c r="L346" s="1000">
        <f>'Inventário Físico'!M32</f>
        <v>0.39564351042999152</v>
      </c>
      <c r="M346" s="1015"/>
      <c r="N346" s="1000">
        <f t="shared" si="16"/>
        <v>1.7190710528183131</v>
      </c>
      <c r="O346" s="1015"/>
      <c r="P346" s="1000">
        <f t="shared" si="17"/>
        <v>20.628852633819758</v>
      </c>
      <c r="Q346" s="1001"/>
    </row>
    <row r="347" spans="2:17" x14ac:dyDescent="0.25">
      <c r="B347" s="206"/>
      <c r="C347" s="203"/>
      <c r="D347" s="203" t="s">
        <v>197</v>
      </c>
      <c r="E347" s="203" t="str">
        <f>'Inventário Físico'!B33</f>
        <v xml:space="preserve">Cortina </v>
      </c>
      <c r="F347" s="203"/>
      <c r="G347" s="203"/>
      <c r="H347" s="203"/>
      <c r="I347" s="203"/>
      <c r="J347" s="203"/>
      <c r="K347" s="203"/>
      <c r="L347" s="1000">
        <f>'Inventário Físico'!M33</f>
        <v>2.8840002567233767</v>
      </c>
      <c r="M347" s="1015"/>
      <c r="N347" s="1000">
        <f t="shared" si="16"/>
        <v>12.530981115463071</v>
      </c>
      <c r="O347" s="1015"/>
      <c r="P347" s="1000">
        <f t="shared" si="17"/>
        <v>150.37177338555685</v>
      </c>
      <c r="Q347" s="1001"/>
    </row>
    <row r="348" spans="2:17" x14ac:dyDescent="0.25">
      <c r="B348" s="206"/>
      <c r="C348" s="203"/>
      <c r="D348" s="203" t="s">
        <v>203</v>
      </c>
      <c r="E348" s="203" t="str">
        <f>'Inventário Físico'!B34</f>
        <v>Lâmpada instalações</v>
      </c>
      <c r="F348" s="203"/>
      <c r="G348" s="203"/>
      <c r="H348" s="203"/>
      <c r="I348" s="203"/>
      <c r="J348" s="203"/>
      <c r="K348" s="203"/>
      <c r="L348" s="1000">
        <f>'Inventário Físico'!M34</f>
        <v>0.81315001658902764</v>
      </c>
      <c r="M348" s="1015"/>
      <c r="N348" s="1000">
        <f t="shared" si="16"/>
        <v>3.5331368220793249</v>
      </c>
      <c r="O348" s="1015"/>
      <c r="P348" s="1000">
        <f t="shared" si="17"/>
        <v>42.3976418649519</v>
      </c>
      <c r="Q348" s="1001"/>
    </row>
    <row r="349" spans="2:17" x14ac:dyDescent="0.25">
      <c r="B349" s="206"/>
      <c r="C349" s="203"/>
      <c r="D349" s="203" t="s">
        <v>205</v>
      </c>
      <c r="E349" s="203" t="str">
        <f>'Inventário Físico'!B35</f>
        <v xml:space="preserve">Termômetro </v>
      </c>
      <c r="F349" s="203"/>
      <c r="G349" s="203"/>
      <c r="H349" s="203"/>
      <c r="I349" s="203"/>
      <c r="J349" s="203"/>
      <c r="K349" s="203"/>
      <c r="L349" s="1000">
        <f>'Inventário Físico'!M35</f>
        <v>4.6614208262294579</v>
      </c>
      <c r="M349" s="1015"/>
      <c r="N349" s="1000">
        <f t="shared" si="16"/>
        <v>20.253873489966992</v>
      </c>
      <c r="O349" s="1015"/>
      <c r="P349" s="1000">
        <f t="shared" si="17"/>
        <v>243.0464818796039</v>
      </c>
      <c r="Q349" s="1001"/>
    </row>
    <row r="350" spans="2:17" ht="31.5" customHeight="1" x14ac:dyDescent="0.25">
      <c r="B350" s="206"/>
      <c r="C350" s="203"/>
      <c r="D350" s="203" t="s">
        <v>206</v>
      </c>
      <c r="E350" s="203" t="str">
        <f>'Inventário Físico'!B36</f>
        <v>Mangueira</v>
      </c>
      <c r="F350" s="203"/>
      <c r="G350" s="203"/>
      <c r="H350" s="203"/>
      <c r="I350" s="203"/>
      <c r="J350" s="203"/>
      <c r="K350" s="203"/>
      <c r="L350" s="1000">
        <f>'Inventário Físico'!M36</f>
        <v>1.9158888362557511</v>
      </c>
      <c r="M350" s="1015"/>
      <c r="N350" s="1000">
        <f t="shared" si="16"/>
        <v>8.3245369935312379</v>
      </c>
      <c r="O350" s="1015"/>
      <c r="P350" s="1000">
        <f t="shared" si="17"/>
        <v>99.894443922374847</v>
      </c>
      <c r="Q350" s="1001"/>
    </row>
    <row r="351" spans="2:17" x14ac:dyDescent="0.25">
      <c r="B351" s="206"/>
      <c r="C351" s="203"/>
      <c r="D351" s="203" t="s">
        <v>207</v>
      </c>
      <c r="E351" s="203" t="str">
        <f>'Inventário Físico'!B37</f>
        <v>Equipamento 3</v>
      </c>
      <c r="F351" s="203"/>
      <c r="G351" s="203"/>
      <c r="H351" s="203"/>
      <c r="I351" s="203"/>
      <c r="J351" s="203"/>
      <c r="K351" s="203"/>
      <c r="L351" s="1000">
        <f>'Inventário Físico'!M37</f>
        <v>0</v>
      </c>
      <c r="M351" s="1015"/>
      <c r="N351" s="1000">
        <f t="shared" si="16"/>
        <v>0</v>
      </c>
      <c r="O351" s="1015"/>
      <c r="P351" s="1000">
        <f t="shared" si="17"/>
        <v>0</v>
      </c>
      <c r="Q351" s="1001"/>
    </row>
    <row r="352" spans="2:17" x14ac:dyDescent="0.25">
      <c r="B352" s="1092" t="s">
        <v>537</v>
      </c>
      <c r="C352" s="1093"/>
      <c r="D352" s="1093"/>
      <c r="E352" s="1093"/>
      <c r="F352" s="1093"/>
      <c r="G352" s="1093"/>
      <c r="H352" s="1093"/>
      <c r="I352" s="1093"/>
      <c r="J352" s="1093"/>
      <c r="K352" s="1093"/>
      <c r="L352" s="992">
        <f>SUM(L343:M351)</f>
        <v>87.459610795065643</v>
      </c>
      <c r="M352" s="993"/>
      <c r="N352" s="992">
        <f>SUM(N343:O351)</f>
        <v>380.0120089045601</v>
      </c>
      <c r="O352" s="993"/>
      <c r="P352" s="992">
        <f>SUM(P343:Q351)</f>
        <v>4560.1441068547219</v>
      </c>
      <c r="Q352" s="994"/>
    </row>
    <row r="353" spans="2:17" x14ac:dyDescent="0.25">
      <c r="B353" s="267"/>
      <c r="C353" s="268"/>
      <c r="D353" s="268"/>
      <c r="E353" s="269" t="s">
        <v>553</v>
      </c>
      <c r="F353" s="268"/>
      <c r="G353" s="268"/>
      <c r="H353" s="268"/>
      <c r="I353" s="268"/>
      <c r="J353" s="268"/>
      <c r="K353" s="268"/>
      <c r="L353" s="984"/>
      <c r="M353" s="985"/>
      <c r="N353" s="342"/>
      <c r="O353" s="343"/>
      <c r="P353" s="342"/>
      <c r="Q353" s="344"/>
    </row>
    <row r="354" spans="2:17" x14ac:dyDescent="0.25">
      <c r="B354" s="210"/>
      <c r="C354" s="207"/>
      <c r="D354" s="207" t="s">
        <v>218</v>
      </c>
      <c r="E354" s="207" t="str">
        <f>'Inventário Físico'!B39</f>
        <v xml:space="preserve">Ar condicionado </v>
      </c>
      <c r="F354" s="207"/>
      <c r="G354" s="207"/>
      <c r="H354" s="207"/>
      <c r="I354" s="207"/>
      <c r="J354" s="207"/>
      <c r="K354" s="207"/>
      <c r="L354" s="984">
        <f>'Inventário Físico'!M39</f>
        <v>1.1506743967059754</v>
      </c>
      <c r="M354" s="985"/>
      <c r="N354" s="984">
        <f t="shared" ref="N354:N370" si="18">L354*4.345</f>
        <v>4.9996802536874627</v>
      </c>
      <c r="O354" s="985"/>
      <c r="P354" s="984">
        <f>N354*12</f>
        <v>59.996163044249556</v>
      </c>
      <c r="Q354" s="986"/>
    </row>
    <row r="355" spans="2:17" x14ac:dyDescent="0.25">
      <c r="B355" s="210"/>
      <c r="C355" s="207"/>
      <c r="D355" s="207" t="s">
        <v>222</v>
      </c>
      <c r="E355" s="207" t="str">
        <f>'Inventário Físico'!B40</f>
        <v xml:space="preserve">Geladeira </v>
      </c>
      <c r="F355" s="207"/>
      <c r="G355" s="207"/>
      <c r="H355" s="207"/>
      <c r="I355" s="207"/>
      <c r="J355" s="207"/>
      <c r="K355" s="207"/>
      <c r="L355" s="984">
        <f>'Inventário Físico'!M40</f>
        <v>2.2054680503002326</v>
      </c>
      <c r="M355" s="985"/>
      <c r="N355" s="984">
        <f t="shared" si="18"/>
        <v>9.5827586785545105</v>
      </c>
      <c r="O355" s="985"/>
      <c r="P355" s="984">
        <f t="shared" ref="P355:P370" si="19">N355*12</f>
        <v>114.99310414265412</v>
      </c>
      <c r="Q355" s="986"/>
    </row>
    <row r="356" spans="2:17" x14ac:dyDescent="0.25">
      <c r="B356" s="210"/>
      <c r="C356" s="207"/>
      <c r="D356" s="207" t="s">
        <v>225</v>
      </c>
      <c r="E356" s="207" t="str">
        <f>'Inventário Físico'!B41</f>
        <v>Estufa</v>
      </c>
      <c r="F356" s="207"/>
      <c r="G356" s="207"/>
      <c r="H356" s="207"/>
      <c r="I356" s="207"/>
      <c r="J356" s="207"/>
      <c r="K356" s="207"/>
      <c r="L356" s="984">
        <f>'Inventário Físico'!M41</f>
        <v>1.2976455087845133</v>
      </c>
      <c r="M356" s="985"/>
      <c r="N356" s="984">
        <f t="shared" si="18"/>
        <v>5.6382697356687101</v>
      </c>
      <c r="O356" s="985"/>
      <c r="P356" s="984">
        <f t="shared" si="19"/>
        <v>67.659236828024518</v>
      </c>
      <c r="Q356" s="986"/>
    </row>
    <row r="357" spans="2:17" x14ac:dyDescent="0.25">
      <c r="B357" s="210"/>
      <c r="C357" s="207"/>
      <c r="D357" s="207" t="s">
        <v>226</v>
      </c>
      <c r="E357" s="207" t="str">
        <f>'Inventário Físico'!B42</f>
        <v>Câmara de Neubauer</v>
      </c>
      <c r="F357" s="207"/>
      <c r="G357" s="207"/>
      <c r="H357" s="207"/>
      <c r="I357" s="207"/>
      <c r="J357" s="207"/>
      <c r="K357" s="207"/>
      <c r="L357" s="984">
        <f>'Inventário Físico'!M42</f>
        <v>0.31969836737120488</v>
      </c>
      <c r="M357" s="985"/>
      <c r="N357" s="984">
        <f t="shared" si="18"/>
        <v>1.3890894062278851</v>
      </c>
      <c r="O357" s="985"/>
      <c r="P357" s="984">
        <f t="shared" si="19"/>
        <v>16.669072874734621</v>
      </c>
      <c r="Q357" s="986"/>
    </row>
    <row r="358" spans="2:17" x14ac:dyDescent="0.25">
      <c r="B358" s="210"/>
      <c r="C358" s="207"/>
      <c r="D358" s="207" t="s">
        <v>235</v>
      </c>
      <c r="E358" s="207" t="str">
        <f>'Inventário Físico'!B43</f>
        <v xml:space="preserve">Destilador </v>
      </c>
      <c r="F358" s="207"/>
      <c r="G358" s="207"/>
      <c r="H358" s="207"/>
      <c r="I358" s="207"/>
      <c r="J358" s="207"/>
      <c r="K358" s="207"/>
      <c r="L358" s="984">
        <f>'Inventário Físico'!M43</f>
        <v>1.2000675067938302</v>
      </c>
      <c r="M358" s="985"/>
      <c r="N358" s="984">
        <f t="shared" si="18"/>
        <v>5.2142933170191919</v>
      </c>
      <c r="O358" s="985"/>
      <c r="P358" s="984">
        <f t="shared" si="19"/>
        <v>62.571519804230306</v>
      </c>
      <c r="Q358" s="986"/>
    </row>
    <row r="359" spans="2:17" x14ac:dyDescent="0.25">
      <c r="B359" s="210"/>
      <c r="C359" s="207"/>
      <c r="D359" s="207" t="s">
        <v>242</v>
      </c>
      <c r="E359" s="207" t="str">
        <f>'Inventário Físico'!B44</f>
        <v xml:space="preserve">Microscópio </v>
      </c>
      <c r="F359" s="207"/>
      <c r="G359" s="207"/>
      <c r="H359" s="207"/>
      <c r="I359" s="207"/>
      <c r="J359" s="207"/>
      <c r="K359" s="207"/>
      <c r="L359" s="984">
        <f>'Inventário Físico'!M44</f>
        <v>1.994509319581381</v>
      </c>
      <c r="M359" s="985"/>
      <c r="N359" s="984">
        <f t="shared" si="18"/>
        <v>8.6661429935811007</v>
      </c>
      <c r="O359" s="985"/>
      <c r="P359" s="984">
        <f t="shared" si="19"/>
        <v>103.99371592297321</v>
      </c>
      <c r="Q359" s="986"/>
    </row>
    <row r="360" spans="2:17" ht="31.5" customHeight="1" x14ac:dyDescent="0.25">
      <c r="B360" s="210"/>
      <c r="C360" s="207"/>
      <c r="D360" s="207" t="s">
        <v>448</v>
      </c>
      <c r="E360" s="207" t="str">
        <f>'Inventário Físico'!B45</f>
        <v xml:space="preserve">Banho maria </v>
      </c>
      <c r="F360" s="207"/>
      <c r="G360" s="207"/>
      <c r="H360" s="207"/>
      <c r="I360" s="207"/>
      <c r="J360" s="207"/>
      <c r="K360" s="207"/>
      <c r="L360" s="984">
        <f>'Inventário Físico'!M45</f>
        <v>0.94737730352550398</v>
      </c>
      <c r="M360" s="985"/>
      <c r="N360" s="984">
        <f t="shared" si="18"/>
        <v>4.1163543838183143</v>
      </c>
      <c r="O360" s="985"/>
      <c r="P360" s="984">
        <f t="shared" si="19"/>
        <v>49.396252605819768</v>
      </c>
      <c r="Q360" s="986"/>
    </row>
    <row r="361" spans="2:17" x14ac:dyDescent="0.25">
      <c r="B361" s="210"/>
      <c r="C361" s="207"/>
      <c r="D361" s="207" t="s">
        <v>449</v>
      </c>
      <c r="E361" s="207" t="str">
        <f>'Inventário Físico'!B46</f>
        <v xml:space="preserve">Manequim </v>
      </c>
      <c r="F361" s="207"/>
      <c r="G361" s="207"/>
      <c r="H361" s="207"/>
      <c r="I361" s="207"/>
      <c r="J361" s="207"/>
      <c r="K361" s="207"/>
      <c r="L361" s="984">
        <f>'Inventário Físico'!M46</f>
        <v>3.0684906286378397</v>
      </c>
      <c r="M361" s="985"/>
      <c r="N361" s="984">
        <f t="shared" si="18"/>
        <v>13.332591781431413</v>
      </c>
      <c r="O361" s="985"/>
      <c r="P361" s="984">
        <f t="shared" si="19"/>
        <v>159.99110137717696</v>
      </c>
      <c r="Q361" s="986"/>
    </row>
    <row r="362" spans="2:17" x14ac:dyDescent="0.25">
      <c r="B362" s="210"/>
      <c r="C362" s="207"/>
      <c r="D362" s="207" t="s">
        <v>450</v>
      </c>
      <c r="E362" s="207" t="str">
        <f>'Inventário Físico'!B47</f>
        <v>Tapetes</v>
      </c>
      <c r="F362" s="207"/>
      <c r="G362" s="207"/>
      <c r="H362" s="207"/>
      <c r="I362" s="207"/>
      <c r="J362" s="207"/>
      <c r="K362" s="207"/>
      <c r="L362" s="984">
        <f>'Inventário Físico'!M47</f>
        <v>0</v>
      </c>
      <c r="M362" s="985"/>
      <c r="N362" s="984">
        <f t="shared" si="18"/>
        <v>0</v>
      </c>
      <c r="O362" s="985"/>
      <c r="P362" s="984">
        <f t="shared" si="19"/>
        <v>0</v>
      </c>
      <c r="Q362" s="986"/>
    </row>
    <row r="363" spans="2:17" x14ac:dyDescent="0.25">
      <c r="B363" s="210"/>
      <c r="C363" s="207"/>
      <c r="D363" s="207" t="s">
        <v>451</v>
      </c>
      <c r="E363" s="207" t="str">
        <f>'Inventário Físico'!B48</f>
        <v xml:space="preserve">Caneca térmica de coleta </v>
      </c>
      <c r="F363" s="207"/>
      <c r="G363" s="207"/>
      <c r="H363" s="207"/>
      <c r="I363" s="207"/>
      <c r="J363" s="207"/>
      <c r="K363" s="207"/>
      <c r="L363" s="984">
        <f>'Inventário Físico'!M48</f>
        <v>0.78643497005344931</v>
      </c>
      <c r="M363" s="985"/>
      <c r="N363" s="984">
        <f t="shared" si="18"/>
        <v>3.417059944882237</v>
      </c>
      <c r="O363" s="985"/>
      <c r="P363" s="984">
        <f t="shared" si="19"/>
        <v>41.004719338586845</v>
      </c>
      <c r="Q363" s="986"/>
    </row>
    <row r="364" spans="2:17" x14ac:dyDescent="0.25">
      <c r="B364" s="210"/>
      <c r="C364" s="207"/>
      <c r="D364" s="207" t="s">
        <v>452</v>
      </c>
      <c r="E364" s="207" t="str">
        <f>'Inventário Físico'!B49</f>
        <v xml:space="preserve">Mangueira </v>
      </c>
      <c r="F364" s="207"/>
      <c r="G364" s="207"/>
      <c r="H364" s="207"/>
      <c r="I364" s="207"/>
      <c r="J364" s="207"/>
      <c r="K364" s="207"/>
      <c r="L364" s="984">
        <f>'Inventário Físico'!M49</f>
        <v>0.38317776725115021</v>
      </c>
      <c r="M364" s="985"/>
      <c r="N364" s="984">
        <f t="shared" si="18"/>
        <v>1.6649073987062475</v>
      </c>
      <c r="O364" s="985"/>
      <c r="P364" s="984">
        <f t="shared" si="19"/>
        <v>19.978888784474968</v>
      </c>
      <c r="Q364" s="986"/>
    </row>
    <row r="365" spans="2:17" x14ac:dyDescent="0.25">
      <c r="B365" s="210"/>
      <c r="C365" s="207"/>
      <c r="D365" s="207" t="s">
        <v>453</v>
      </c>
      <c r="E365" s="207" t="str">
        <f>'Inventário Físico'!B50</f>
        <v xml:space="preserve">Mesa </v>
      </c>
      <c r="F365" s="207"/>
      <c r="G365" s="207"/>
      <c r="H365" s="207"/>
      <c r="I365" s="207"/>
      <c r="J365" s="207"/>
      <c r="K365" s="207"/>
      <c r="L365" s="984">
        <f>'Inventário Físico'!M50</f>
        <v>0.42680786837709456</v>
      </c>
      <c r="M365" s="985"/>
      <c r="N365" s="984">
        <f t="shared" si="18"/>
        <v>1.8544801880984758</v>
      </c>
      <c r="O365" s="985"/>
      <c r="P365" s="984">
        <f t="shared" si="19"/>
        <v>22.253762257181709</v>
      </c>
      <c r="Q365" s="986"/>
    </row>
    <row r="366" spans="2:17" x14ac:dyDescent="0.25">
      <c r="B366" s="210"/>
      <c r="C366" s="207"/>
      <c r="D366" s="207" t="s">
        <v>454</v>
      </c>
      <c r="E366" s="207" t="str">
        <f>'Inventário Físico'!B51</f>
        <v xml:space="preserve">Cadeira </v>
      </c>
      <c r="F366" s="207"/>
      <c r="G366" s="207"/>
      <c r="H366" s="207"/>
      <c r="I366" s="207"/>
      <c r="J366" s="207"/>
      <c r="K366" s="207"/>
      <c r="L366" s="984">
        <f>'Inventário Físico'!M51</f>
        <v>0.2204518736011998</v>
      </c>
      <c r="M366" s="985"/>
      <c r="N366" s="984">
        <f t="shared" si="18"/>
        <v>0.95786339079721305</v>
      </c>
      <c r="O366" s="985"/>
      <c r="P366" s="984">
        <f t="shared" si="19"/>
        <v>11.494360689566557</v>
      </c>
      <c r="Q366" s="986"/>
    </row>
    <row r="367" spans="2:17" x14ac:dyDescent="0.25">
      <c r="B367" s="210"/>
      <c r="C367" s="207"/>
      <c r="D367" s="207" t="s">
        <v>455</v>
      </c>
      <c r="E367" s="207" t="str">
        <f>'Inventário Físico'!B52</f>
        <v xml:space="preserve">Lâmpada instalações </v>
      </c>
      <c r="F367" s="207"/>
      <c r="G367" s="207"/>
      <c r="H367" s="207"/>
      <c r="I367" s="207"/>
      <c r="J367" s="207"/>
      <c r="K367" s="207"/>
      <c r="L367" s="984">
        <f>'Inventário Físico'!M52</f>
        <v>0.325260006635611</v>
      </c>
      <c r="M367" s="985"/>
      <c r="N367" s="984">
        <f t="shared" si="18"/>
        <v>1.4132547288317296</v>
      </c>
      <c r="O367" s="985"/>
      <c r="P367" s="984">
        <f t="shared" si="19"/>
        <v>16.959056745980757</v>
      </c>
      <c r="Q367" s="986"/>
    </row>
    <row r="368" spans="2:17" x14ac:dyDescent="0.25">
      <c r="B368" s="210"/>
      <c r="C368" s="207"/>
      <c r="D368" s="207" t="s">
        <v>456</v>
      </c>
      <c r="E368" s="207" t="str">
        <f>'Inventário Físico'!B53</f>
        <v>Equipamento 1</v>
      </c>
      <c r="F368" s="207"/>
      <c r="G368" s="207"/>
      <c r="H368" s="207"/>
      <c r="I368" s="207"/>
      <c r="J368" s="207"/>
      <c r="K368" s="207"/>
      <c r="L368" s="984">
        <f>'Inventário Físico'!M53</f>
        <v>0</v>
      </c>
      <c r="M368" s="985"/>
      <c r="N368" s="984">
        <f t="shared" si="18"/>
        <v>0</v>
      </c>
      <c r="O368" s="985"/>
      <c r="P368" s="984">
        <f t="shared" si="19"/>
        <v>0</v>
      </c>
      <c r="Q368" s="986"/>
    </row>
    <row r="369" spans="2:17" x14ac:dyDescent="0.25">
      <c r="B369" s="210"/>
      <c r="C369" s="207"/>
      <c r="D369" s="207" t="s">
        <v>457</v>
      </c>
      <c r="E369" s="207" t="str">
        <f>'Inventário Físico'!B54</f>
        <v>Equipamento 2</v>
      </c>
      <c r="F369" s="207"/>
      <c r="G369" s="207"/>
      <c r="H369" s="207"/>
      <c r="I369" s="207"/>
      <c r="J369" s="207"/>
      <c r="K369" s="207"/>
      <c r="L369" s="984">
        <f>'Inventário Físico'!M54</f>
        <v>0</v>
      </c>
      <c r="M369" s="985"/>
      <c r="N369" s="984">
        <f t="shared" si="18"/>
        <v>0</v>
      </c>
      <c r="O369" s="985"/>
      <c r="P369" s="984">
        <f t="shared" si="19"/>
        <v>0</v>
      </c>
      <c r="Q369" s="986"/>
    </row>
    <row r="370" spans="2:17" x14ac:dyDescent="0.25">
      <c r="B370" s="210"/>
      <c r="C370" s="207"/>
      <c r="D370" s="207" t="s">
        <v>458</v>
      </c>
      <c r="E370" s="207" t="str">
        <f>'Inventário Físico'!B55</f>
        <v>Equipamento 3</v>
      </c>
      <c r="F370" s="207"/>
      <c r="G370" s="207"/>
      <c r="H370" s="207"/>
      <c r="I370" s="207"/>
      <c r="J370" s="207"/>
      <c r="K370" s="207"/>
      <c r="L370" s="984">
        <f>'Inventário Físico'!M55</f>
        <v>0</v>
      </c>
      <c r="M370" s="985"/>
      <c r="N370" s="984">
        <f t="shared" si="18"/>
        <v>0</v>
      </c>
      <c r="O370" s="985"/>
      <c r="P370" s="984">
        <f t="shared" si="19"/>
        <v>0</v>
      </c>
      <c r="Q370" s="986"/>
    </row>
    <row r="371" spans="2:17" x14ac:dyDescent="0.25">
      <c r="B371" s="210"/>
      <c r="C371" s="207"/>
      <c r="D371" s="207"/>
      <c r="E371" s="269" t="s">
        <v>28</v>
      </c>
      <c r="F371" s="207"/>
      <c r="G371" s="207"/>
      <c r="H371" s="207"/>
      <c r="I371" s="207"/>
      <c r="J371" s="207"/>
      <c r="K371" s="207"/>
      <c r="L371" s="984"/>
      <c r="M371" s="985"/>
      <c r="N371" s="342"/>
      <c r="O371" s="343"/>
      <c r="P371" s="342"/>
      <c r="Q371" s="344"/>
    </row>
    <row r="372" spans="2:17" x14ac:dyDescent="0.25">
      <c r="B372" s="210"/>
      <c r="C372" s="207"/>
      <c r="D372" s="207" t="s">
        <v>459</v>
      </c>
      <c r="E372" s="207" t="str">
        <f>'Inventário Físico'!B57</f>
        <v>Bebedouros cachaços</v>
      </c>
      <c r="F372" s="207"/>
      <c r="G372" s="207"/>
      <c r="H372" s="207"/>
      <c r="I372" s="207"/>
      <c r="J372" s="207"/>
      <c r="K372" s="207"/>
      <c r="L372" s="984">
        <f>'Inventário Físico'!M57</f>
        <v>0.33309680384737583</v>
      </c>
      <c r="M372" s="985"/>
      <c r="N372" s="984">
        <f t="shared" ref="N372:N380" si="20">L372*4.345</f>
        <v>1.447305612716848</v>
      </c>
      <c r="O372" s="985"/>
      <c r="P372" s="984">
        <f t="shared" ref="P372:P380" si="21">N372*12</f>
        <v>17.367667352602176</v>
      </c>
      <c r="Q372" s="986"/>
    </row>
    <row r="373" spans="2:17" x14ac:dyDescent="0.25">
      <c r="B373" s="210"/>
      <c r="C373" s="207"/>
      <c r="D373" s="207" t="s">
        <v>460</v>
      </c>
      <c r="E373" s="207" t="str">
        <f>'Inventário Físico'!B58</f>
        <v>Carrinho para alimentação cachaços</v>
      </c>
      <c r="F373" s="207"/>
      <c r="G373" s="207"/>
      <c r="H373" s="207"/>
      <c r="I373" s="207"/>
      <c r="J373" s="207"/>
      <c r="K373" s="207"/>
      <c r="L373" s="984">
        <f>'Inventário Físico'!M58</f>
        <v>0.39564351042999152</v>
      </c>
      <c r="M373" s="985"/>
      <c r="N373" s="984">
        <f t="shared" si="20"/>
        <v>1.7190710528183131</v>
      </c>
      <c r="O373" s="985"/>
      <c r="P373" s="984">
        <f t="shared" si="21"/>
        <v>20.628852633819758</v>
      </c>
      <c r="Q373" s="986"/>
    </row>
    <row r="374" spans="2:17" x14ac:dyDescent="0.25">
      <c r="B374" s="210"/>
      <c r="C374" s="207"/>
      <c r="D374" s="207" t="s">
        <v>461</v>
      </c>
      <c r="E374" s="207" t="str">
        <f>'Inventário Físico'!B59</f>
        <v>Conchas</v>
      </c>
      <c r="F374" s="207"/>
      <c r="G374" s="207"/>
      <c r="H374" s="207"/>
      <c r="I374" s="207"/>
      <c r="J374" s="207"/>
      <c r="K374" s="207"/>
      <c r="L374" s="984">
        <f>'Inventário Físico'!M59</f>
        <v>5.7917760615539222E-2</v>
      </c>
      <c r="M374" s="985"/>
      <c r="N374" s="984">
        <f t="shared" si="20"/>
        <v>0.2516526698745179</v>
      </c>
      <c r="O374" s="985"/>
      <c r="P374" s="984">
        <f t="shared" si="21"/>
        <v>3.019832038494215</v>
      </c>
      <c r="Q374" s="986"/>
    </row>
    <row r="375" spans="2:17" x14ac:dyDescent="0.25">
      <c r="B375" s="210"/>
      <c r="C375" s="207"/>
      <c r="D375" s="207" t="s">
        <v>462</v>
      </c>
      <c r="E375" s="207" t="str">
        <f>'Inventário Físico'!B60</f>
        <v xml:space="preserve">Cortina </v>
      </c>
      <c r="F375" s="207"/>
      <c r="G375" s="207"/>
      <c r="H375" s="207"/>
      <c r="I375" s="207"/>
      <c r="J375" s="207"/>
      <c r="K375" s="207"/>
      <c r="L375" s="984">
        <f>'Inventário Físico'!M60</f>
        <v>0.69150354122996616</v>
      </c>
      <c r="M375" s="985"/>
      <c r="N375" s="984">
        <f t="shared" si="20"/>
        <v>3.0045828866442026</v>
      </c>
      <c r="O375" s="985"/>
      <c r="P375" s="984">
        <f t="shared" si="21"/>
        <v>36.054994639730431</v>
      </c>
      <c r="Q375" s="986"/>
    </row>
    <row r="376" spans="2:17" x14ac:dyDescent="0.25">
      <c r="B376" s="210"/>
      <c r="C376" s="207"/>
      <c r="D376" s="207" t="s">
        <v>463</v>
      </c>
      <c r="E376" s="207" t="str">
        <f>'Inventário Físico'!B61</f>
        <v xml:space="preserve">Lâmpada instalações </v>
      </c>
      <c r="F376" s="207"/>
      <c r="G376" s="207"/>
      <c r="H376" s="207"/>
      <c r="I376" s="207"/>
      <c r="J376" s="207"/>
      <c r="K376" s="207"/>
      <c r="L376" s="984">
        <f>'Inventário Físico'!M61</f>
        <v>0.325260006635611</v>
      </c>
      <c r="M376" s="985"/>
      <c r="N376" s="984">
        <f t="shared" si="20"/>
        <v>1.4132547288317296</v>
      </c>
      <c r="O376" s="985"/>
      <c r="P376" s="984">
        <f t="shared" si="21"/>
        <v>16.959056745980757</v>
      </c>
      <c r="Q376" s="986"/>
    </row>
    <row r="377" spans="2:17" x14ac:dyDescent="0.25">
      <c r="B377" s="210"/>
      <c r="C377" s="207"/>
      <c r="D377" s="207" t="s">
        <v>464</v>
      </c>
      <c r="E377" s="207" t="str">
        <f>'Inventário Físico'!B62</f>
        <v xml:space="preserve">Termômetro </v>
      </c>
      <c r="F377" s="207"/>
      <c r="G377" s="207"/>
      <c r="H377" s="207"/>
      <c r="I377" s="207"/>
      <c r="J377" s="207"/>
      <c r="K377" s="207"/>
      <c r="L377" s="984">
        <f>'Inventário Físico'!M62</f>
        <v>0.46614208262294582</v>
      </c>
      <c r="M377" s="985"/>
      <c r="N377" s="984">
        <f t="shared" si="20"/>
        <v>2.0253873489966994</v>
      </c>
      <c r="O377" s="985"/>
      <c r="P377" s="984">
        <f t="shared" si="21"/>
        <v>24.304648187960392</v>
      </c>
      <c r="Q377" s="986"/>
    </row>
    <row r="378" spans="2:17" x14ac:dyDescent="0.25">
      <c r="B378" s="210"/>
      <c r="C378" s="207"/>
      <c r="D378" s="207" t="s">
        <v>465</v>
      </c>
      <c r="E378" s="207" t="str">
        <f>'Inventário Físico'!B63</f>
        <v>Mangueira</v>
      </c>
      <c r="F378" s="207"/>
      <c r="G378" s="207"/>
      <c r="H378" s="207"/>
      <c r="I378" s="207"/>
      <c r="J378" s="207"/>
      <c r="K378" s="207"/>
      <c r="L378" s="984">
        <f>'Inventário Físico'!M63</f>
        <v>1.9158888362557511</v>
      </c>
      <c r="M378" s="985"/>
      <c r="N378" s="984">
        <f t="shared" si="20"/>
        <v>8.3245369935312379</v>
      </c>
      <c r="O378" s="985"/>
      <c r="P378" s="984">
        <f t="shared" si="21"/>
        <v>99.894443922374847</v>
      </c>
      <c r="Q378" s="986"/>
    </row>
    <row r="379" spans="2:17" x14ac:dyDescent="0.25">
      <c r="B379" s="210"/>
      <c r="C379" s="207"/>
      <c r="D379" s="207" t="s">
        <v>466</v>
      </c>
      <c r="E379" s="207" t="str">
        <f>'Inventário Físico'!B64</f>
        <v>Equipamento 2</v>
      </c>
      <c r="F379" s="207"/>
      <c r="G379" s="207"/>
      <c r="H379" s="207"/>
      <c r="I379" s="207"/>
      <c r="J379" s="207"/>
      <c r="K379" s="207"/>
      <c r="L379" s="984">
        <f>'Inventário Físico'!M64</f>
        <v>0</v>
      </c>
      <c r="M379" s="985"/>
      <c r="N379" s="984">
        <f t="shared" si="20"/>
        <v>0</v>
      </c>
      <c r="O379" s="985"/>
      <c r="P379" s="984">
        <f t="shared" si="21"/>
        <v>0</v>
      </c>
      <c r="Q379" s="986"/>
    </row>
    <row r="380" spans="2:17" x14ac:dyDescent="0.25">
      <c r="B380" s="210"/>
      <c r="C380" s="207"/>
      <c r="D380" s="207" t="s">
        <v>467</v>
      </c>
      <c r="E380" s="207" t="str">
        <f>'Inventário Físico'!B65</f>
        <v>Equipamento 3</v>
      </c>
      <c r="F380" s="207"/>
      <c r="G380" s="207"/>
      <c r="H380" s="207"/>
      <c r="I380" s="207"/>
      <c r="J380" s="207"/>
      <c r="K380" s="207"/>
      <c r="L380" s="984">
        <f>'Inventário Físico'!M65</f>
        <v>0</v>
      </c>
      <c r="M380" s="985"/>
      <c r="N380" s="984">
        <f t="shared" si="20"/>
        <v>0</v>
      </c>
      <c r="O380" s="985"/>
      <c r="P380" s="984">
        <f t="shared" si="21"/>
        <v>0</v>
      </c>
      <c r="Q380" s="986"/>
    </row>
    <row r="381" spans="2:17" x14ac:dyDescent="0.25">
      <c r="B381" s="210"/>
      <c r="C381" s="207"/>
      <c r="D381" s="207"/>
      <c r="E381" s="269" t="s">
        <v>49</v>
      </c>
      <c r="F381" s="207"/>
      <c r="G381" s="207"/>
      <c r="H381" s="207"/>
      <c r="I381" s="207"/>
      <c r="J381" s="207"/>
      <c r="K381" s="207"/>
      <c r="L381" s="984"/>
      <c r="M381" s="985"/>
      <c r="N381" s="342"/>
      <c r="O381" s="343"/>
      <c r="P381" s="342"/>
      <c r="Q381" s="344"/>
    </row>
    <row r="382" spans="2:17" x14ac:dyDescent="0.25">
      <c r="B382" s="210"/>
      <c r="C382" s="207"/>
      <c r="D382" s="207" t="s">
        <v>468</v>
      </c>
      <c r="E382" s="207" t="str">
        <f>'Inventário Físico'!B67</f>
        <v>Bebedouros rufiões</v>
      </c>
      <c r="F382" s="207"/>
      <c r="G382" s="207"/>
      <c r="H382" s="207"/>
      <c r="I382" s="207"/>
      <c r="J382" s="207"/>
      <c r="K382" s="207"/>
      <c r="L382" s="984">
        <f>'Inventário Físico'!M67</f>
        <v>0.49964520577106381</v>
      </c>
      <c r="M382" s="985"/>
      <c r="N382" s="984">
        <f t="shared" ref="N382:N390" si="22">L382*4.345</f>
        <v>2.170958419075272</v>
      </c>
      <c r="O382" s="985"/>
      <c r="P382" s="984">
        <f t="shared" ref="P382:P390" si="23">N382*12</f>
        <v>26.051501028903264</v>
      </c>
      <c r="Q382" s="986"/>
    </row>
    <row r="383" spans="2:17" x14ac:dyDescent="0.25">
      <c r="B383" s="210"/>
      <c r="C383" s="207"/>
      <c r="D383" s="207" t="s">
        <v>469</v>
      </c>
      <c r="E383" s="207" t="str">
        <f>'Inventário Físico'!B68</f>
        <v>Carrinho para alimentação rufiões</v>
      </c>
      <c r="F383" s="207"/>
      <c r="G383" s="207"/>
      <c r="H383" s="207"/>
      <c r="I383" s="207"/>
      <c r="J383" s="207"/>
      <c r="K383" s="207"/>
      <c r="L383" s="984">
        <f>'Inventário Físico'!M68</f>
        <v>0.59346526564498725</v>
      </c>
      <c r="M383" s="985"/>
      <c r="N383" s="984">
        <f t="shared" si="22"/>
        <v>2.5786065792274693</v>
      </c>
      <c r="O383" s="985"/>
      <c r="P383" s="984">
        <f t="shared" si="23"/>
        <v>30.943278950729631</v>
      </c>
      <c r="Q383" s="986"/>
    </row>
    <row r="384" spans="2:17" x14ac:dyDescent="0.25">
      <c r="B384" s="210"/>
      <c r="C384" s="207"/>
      <c r="D384" s="207" t="s">
        <v>470</v>
      </c>
      <c r="E384" s="207" t="str">
        <f>'Inventário Físico'!B69</f>
        <v>Conchas</v>
      </c>
      <c r="F384" s="207"/>
      <c r="G384" s="207"/>
      <c r="H384" s="207"/>
      <c r="I384" s="207"/>
      <c r="J384" s="207"/>
      <c r="K384" s="207"/>
      <c r="L384" s="984">
        <f>'Inventário Físico'!M69</f>
        <v>8.6876640923308823E-2</v>
      </c>
      <c r="M384" s="985"/>
      <c r="N384" s="984">
        <f t="shared" si="22"/>
        <v>0.37747900481177682</v>
      </c>
      <c r="O384" s="985"/>
      <c r="P384" s="984">
        <f t="shared" si="23"/>
        <v>4.5297480577413216</v>
      </c>
      <c r="Q384" s="986"/>
    </row>
    <row r="385" spans="2:17" x14ac:dyDescent="0.25">
      <c r="B385" s="210"/>
      <c r="C385" s="207"/>
      <c r="D385" s="207" t="s">
        <v>471</v>
      </c>
      <c r="E385" s="207" t="str">
        <f>'Inventário Físico'!B70</f>
        <v xml:space="preserve">Cortina </v>
      </c>
      <c r="F385" s="207"/>
      <c r="G385" s="207"/>
      <c r="H385" s="207"/>
      <c r="I385" s="207"/>
      <c r="J385" s="207"/>
      <c r="K385" s="207"/>
      <c r="L385" s="984">
        <f>'Inventário Físico'!M70</f>
        <v>0.8643794265374577</v>
      </c>
      <c r="M385" s="985"/>
      <c r="N385" s="984">
        <f t="shared" si="22"/>
        <v>3.7557286083052537</v>
      </c>
      <c r="O385" s="985"/>
      <c r="P385" s="984">
        <f t="shared" si="23"/>
        <v>45.068743299663041</v>
      </c>
      <c r="Q385" s="986"/>
    </row>
    <row r="386" spans="2:17" x14ac:dyDescent="0.25">
      <c r="B386" s="210"/>
      <c r="C386" s="207"/>
      <c r="D386" s="207" t="s">
        <v>472</v>
      </c>
      <c r="E386" s="207" t="str">
        <f>'Inventário Físico'!B71</f>
        <v xml:space="preserve">Lâmpada instalações </v>
      </c>
      <c r="F386" s="207"/>
      <c r="G386" s="207"/>
      <c r="H386" s="207"/>
      <c r="I386" s="207"/>
      <c r="J386" s="207"/>
      <c r="K386" s="207"/>
      <c r="L386" s="984">
        <f>'Inventário Físico'!M71</f>
        <v>0.325260006635611</v>
      </c>
      <c r="M386" s="985"/>
      <c r="N386" s="984">
        <f t="shared" si="22"/>
        <v>1.4132547288317296</v>
      </c>
      <c r="O386" s="985"/>
      <c r="P386" s="984">
        <f t="shared" si="23"/>
        <v>16.959056745980757</v>
      </c>
      <c r="Q386" s="986"/>
    </row>
    <row r="387" spans="2:17" x14ac:dyDescent="0.25">
      <c r="B387" s="210"/>
      <c r="C387" s="207"/>
      <c r="D387" s="207" t="s">
        <v>473</v>
      </c>
      <c r="E387" s="207" t="str">
        <f>'Inventário Físico'!B72</f>
        <v xml:space="preserve">Termômetro </v>
      </c>
      <c r="F387" s="207"/>
      <c r="G387" s="207"/>
      <c r="H387" s="207"/>
      <c r="I387" s="207"/>
      <c r="J387" s="207"/>
      <c r="K387" s="207"/>
      <c r="L387" s="984">
        <f>'Inventário Físico'!M72</f>
        <v>0.46614208262294582</v>
      </c>
      <c r="M387" s="985"/>
      <c r="N387" s="984">
        <f t="shared" si="22"/>
        <v>2.0253873489966994</v>
      </c>
      <c r="O387" s="985"/>
      <c r="P387" s="984">
        <f t="shared" si="23"/>
        <v>24.304648187960392</v>
      </c>
      <c r="Q387" s="986"/>
    </row>
    <row r="388" spans="2:17" x14ac:dyDescent="0.25">
      <c r="B388" s="210"/>
      <c r="C388" s="207"/>
      <c r="D388" s="207" t="s">
        <v>474</v>
      </c>
      <c r="E388" s="207" t="str">
        <f>'Inventário Físico'!B73</f>
        <v>Mangueira</v>
      </c>
      <c r="F388" s="207"/>
      <c r="G388" s="207"/>
      <c r="H388" s="207"/>
      <c r="I388" s="207"/>
      <c r="J388" s="207"/>
      <c r="K388" s="207"/>
      <c r="L388" s="984">
        <f>'Inventário Físico'!M73</f>
        <v>1.9158888362557511</v>
      </c>
      <c r="M388" s="985"/>
      <c r="N388" s="984">
        <f t="shared" si="22"/>
        <v>8.3245369935312379</v>
      </c>
      <c r="O388" s="985"/>
      <c r="P388" s="984">
        <f t="shared" si="23"/>
        <v>99.894443922374847</v>
      </c>
      <c r="Q388" s="986"/>
    </row>
    <row r="389" spans="2:17" x14ac:dyDescent="0.25">
      <c r="B389" s="210"/>
      <c r="C389" s="207"/>
      <c r="D389" s="207" t="s">
        <v>475</v>
      </c>
      <c r="E389" s="207" t="str">
        <f>'Inventário Físico'!B74</f>
        <v>Equipamento 2</v>
      </c>
      <c r="F389" s="207"/>
      <c r="G389" s="207"/>
      <c r="H389" s="207"/>
      <c r="I389" s="207"/>
      <c r="J389" s="207"/>
      <c r="K389" s="207"/>
      <c r="L389" s="984">
        <f>'Inventário Físico'!M74</f>
        <v>0</v>
      </c>
      <c r="M389" s="985"/>
      <c r="N389" s="984">
        <f t="shared" si="22"/>
        <v>0</v>
      </c>
      <c r="O389" s="985"/>
      <c r="P389" s="984">
        <f t="shared" si="23"/>
        <v>0</v>
      </c>
      <c r="Q389" s="986"/>
    </row>
    <row r="390" spans="2:17" x14ac:dyDescent="0.25">
      <c r="B390" s="210"/>
      <c r="C390" s="207"/>
      <c r="D390" s="207" t="s">
        <v>476</v>
      </c>
      <c r="E390" s="207" t="str">
        <f>'Inventário Físico'!B75</f>
        <v>Equipamento 3</v>
      </c>
      <c r="F390" s="207"/>
      <c r="G390" s="207"/>
      <c r="H390" s="207"/>
      <c r="I390" s="207"/>
      <c r="J390" s="207"/>
      <c r="K390" s="207"/>
      <c r="L390" s="984">
        <f>'Inventário Físico'!M75</f>
        <v>0</v>
      </c>
      <c r="M390" s="985"/>
      <c r="N390" s="984">
        <f t="shared" si="22"/>
        <v>0</v>
      </c>
      <c r="O390" s="985"/>
      <c r="P390" s="984">
        <f t="shared" si="23"/>
        <v>0</v>
      </c>
      <c r="Q390" s="986"/>
    </row>
    <row r="391" spans="2:17" x14ac:dyDescent="0.25">
      <c r="B391" s="210"/>
      <c r="C391" s="207"/>
      <c r="D391" s="207"/>
      <c r="E391" s="269" t="s">
        <v>554</v>
      </c>
      <c r="F391" s="207"/>
      <c r="G391" s="207"/>
      <c r="H391" s="207"/>
      <c r="I391" s="207"/>
      <c r="J391" s="207"/>
      <c r="K391" s="207"/>
      <c r="L391" s="984"/>
      <c r="M391" s="985"/>
      <c r="N391" s="342"/>
      <c r="O391" s="343"/>
      <c r="P391" s="342"/>
      <c r="Q391" s="344"/>
    </row>
    <row r="392" spans="2:17" x14ac:dyDescent="0.25">
      <c r="B392" s="210"/>
      <c r="C392" s="207"/>
      <c r="D392" s="207" t="s">
        <v>477</v>
      </c>
      <c r="E392" s="207" t="str">
        <f>'Inventário Físico'!B78</f>
        <v>Alimentador automático (gestação)</v>
      </c>
      <c r="F392" s="207"/>
      <c r="G392" s="207"/>
      <c r="H392" s="207"/>
      <c r="I392" s="207"/>
      <c r="J392" s="207"/>
      <c r="K392" s="207"/>
      <c r="L392" s="984">
        <f>'Inventário Físico'!M78</f>
        <v>52.129196880112154</v>
      </c>
      <c r="M392" s="985"/>
      <c r="N392" s="984">
        <f t="shared" ref="N392:N402" si="24">L392*4.345</f>
        <v>226.50136044408731</v>
      </c>
      <c r="O392" s="985"/>
      <c r="P392" s="984">
        <f t="shared" ref="P392:P402" si="25">N392*12</f>
        <v>2718.0163253290475</v>
      </c>
      <c r="Q392" s="986"/>
    </row>
    <row r="393" spans="2:17" x14ac:dyDescent="0.25">
      <c r="B393" s="210"/>
      <c r="C393" s="207"/>
      <c r="D393" s="207" t="s">
        <v>478</v>
      </c>
      <c r="E393" s="207" t="str">
        <f>'Inventário Físico'!B79</f>
        <v xml:space="preserve">Gaiolas gestação </v>
      </c>
      <c r="F393" s="207"/>
      <c r="G393" s="207"/>
      <c r="H393" s="207"/>
      <c r="I393" s="207"/>
      <c r="J393" s="207"/>
      <c r="K393" s="207"/>
      <c r="L393" s="984">
        <f>'Inventário Físico'!M79</f>
        <v>1069.8644754062641</v>
      </c>
      <c r="M393" s="985"/>
      <c r="N393" s="984">
        <f t="shared" si="24"/>
        <v>4648.5611456402175</v>
      </c>
      <c r="O393" s="985"/>
      <c r="P393" s="984">
        <f t="shared" si="25"/>
        <v>55782.733747682607</v>
      </c>
      <c r="Q393" s="986"/>
    </row>
    <row r="394" spans="2:17" x14ac:dyDescent="0.25">
      <c r="B394" s="210"/>
      <c r="C394" s="207"/>
      <c r="D394" s="207" t="s">
        <v>479</v>
      </c>
      <c r="E394" s="207" t="str">
        <f>'Inventário Físico'!B80</f>
        <v>Bebedouro gestação</v>
      </c>
      <c r="F394" s="207"/>
      <c r="G394" s="207"/>
      <c r="H394" s="207"/>
      <c r="I394" s="207"/>
      <c r="J394" s="207"/>
      <c r="K394" s="207"/>
      <c r="L394" s="984">
        <f>'Inventário Físico'!M80</f>
        <v>23.190885834541664</v>
      </c>
      <c r="M394" s="985"/>
      <c r="N394" s="984">
        <f t="shared" si="24"/>
        <v>100.76439895108352</v>
      </c>
      <c r="O394" s="985"/>
      <c r="P394" s="984">
        <f t="shared" si="25"/>
        <v>1209.1727874130022</v>
      </c>
      <c r="Q394" s="986"/>
    </row>
    <row r="395" spans="2:17" x14ac:dyDescent="0.25">
      <c r="B395" s="210"/>
      <c r="C395" s="207"/>
      <c r="D395" s="207" t="s">
        <v>480</v>
      </c>
      <c r="E395" s="207" t="str">
        <f>'Inventário Físico'!B81</f>
        <v xml:space="preserve">Ventiladores </v>
      </c>
      <c r="F395" s="207"/>
      <c r="G395" s="207"/>
      <c r="H395" s="207"/>
      <c r="I395" s="207"/>
      <c r="J395" s="207"/>
      <c r="K395" s="207"/>
      <c r="L395" s="984">
        <f>'Inventário Físico'!M81</f>
        <v>56.61844661497539</v>
      </c>
      <c r="M395" s="985"/>
      <c r="N395" s="984">
        <f t="shared" si="24"/>
        <v>246.00715054206805</v>
      </c>
      <c r="O395" s="985"/>
      <c r="P395" s="984">
        <f t="shared" si="25"/>
        <v>2952.0858065048164</v>
      </c>
      <c r="Q395" s="986"/>
    </row>
    <row r="396" spans="2:17" x14ac:dyDescent="0.25">
      <c r="B396" s="210"/>
      <c r="C396" s="207"/>
      <c r="D396" s="207" t="s">
        <v>481</v>
      </c>
      <c r="E396" s="207" t="str">
        <f>'Inventário Físico'!B82</f>
        <v>Geladeira (vacinas)</v>
      </c>
      <c r="F396" s="207"/>
      <c r="G396" s="207"/>
      <c r="H396" s="207"/>
      <c r="I396" s="207"/>
      <c r="J396" s="207"/>
      <c r="K396" s="207"/>
      <c r="L396" s="984">
        <f>'Inventário Físico'!M82</f>
        <v>2.2054680503002326</v>
      </c>
      <c r="M396" s="985"/>
      <c r="N396" s="984">
        <f t="shared" si="24"/>
        <v>9.5827586785545105</v>
      </c>
      <c r="O396" s="985"/>
      <c r="P396" s="984">
        <f t="shared" si="25"/>
        <v>114.99310414265412</v>
      </c>
      <c r="Q396" s="986"/>
    </row>
    <row r="397" spans="2:17" x14ac:dyDescent="0.25">
      <c r="B397" s="210"/>
      <c r="C397" s="207"/>
      <c r="D397" s="207" t="s">
        <v>482</v>
      </c>
      <c r="E397" s="207" t="str">
        <f>'Inventário Físico'!B83</f>
        <v xml:space="preserve">Cortina </v>
      </c>
      <c r="F397" s="207"/>
      <c r="G397" s="207"/>
      <c r="H397" s="207"/>
      <c r="I397" s="207"/>
      <c r="J397" s="207"/>
      <c r="K397" s="207"/>
      <c r="L397" s="984">
        <f>'Inventário Físico'!M83</f>
        <v>22.467153983531542</v>
      </c>
      <c r="M397" s="985"/>
      <c r="N397" s="984">
        <f t="shared" si="24"/>
        <v>97.619784058444552</v>
      </c>
      <c r="O397" s="985"/>
      <c r="P397" s="984">
        <f t="shared" si="25"/>
        <v>1171.4374087013346</v>
      </c>
      <c r="Q397" s="986"/>
    </row>
    <row r="398" spans="2:17" x14ac:dyDescent="0.25">
      <c r="B398" s="210"/>
      <c r="C398" s="207"/>
      <c r="D398" s="207" t="s">
        <v>483</v>
      </c>
      <c r="E398" s="207" t="str">
        <f>'Inventário Físico'!B84</f>
        <v xml:space="preserve">Lâmpada instalações </v>
      </c>
      <c r="F398" s="207"/>
      <c r="G398" s="207"/>
      <c r="H398" s="207"/>
      <c r="I398" s="207"/>
      <c r="J398" s="207"/>
      <c r="K398" s="207"/>
      <c r="L398" s="984">
        <f>'Inventário Físico'!M84</f>
        <v>4.0657500829451374</v>
      </c>
      <c r="M398" s="985"/>
      <c r="N398" s="984">
        <f t="shared" si="24"/>
        <v>17.665684110396622</v>
      </c>
      <c r="O398" s="985"/>
      <c r="P398" s="984">
        <f t="shared" si="25"/>
        <v>211.98820932475945</v>
      </c>
      <c r="Q398" s="986"/>
    </row>
    <row r="399" spans="2:17" x14ac:dyDescent="0.25">
      <c r="B399" s="210"/>
      <c r="C399" s="207"/>
      <c r="D399" s="207" t="s">
        <v>484</v>
      </c>
      <c r="E399" s="207" t="str">
        <f>'Inventário Físico'!B85</f>
        <v xml:space="preserve">Termômetro </v>
      </c>
      <c r="F399" s="207"/>
      <c r="G399" s="207"/>
      <c r="H399" s="207"/>
      <c r="I399" s="207"/>
      <c r="J399" s="207"/>
      <c r="K399" s="207"/>
      <c r="L399" s="984">
        <f>'Inventário Físico'!M85</f>
        <v>2.3307104131147289</v>
      </c>
      <c r="M399" s="985"/>
      <c r="N399" s="984">
        <f t="shared" si="24"/>
        <v>10.126936744983496</v>
      </c>
      <c r="O399" s="985"/>
      <c r="P399" s="984">
        <f t="shared" si="25"/>
        <v>121.52324093980195</v>
      </c>
      <c r="Q399" s="986"/>
    </row>
    <row r="400" spans="2:17" x14ac:dyDescent="0.25">
      <c r="B400" s="210"/>
      <c r="C400" s="207"/>
      <c r="D400" s="207" t="s">
        <v>485</v>
      </c>
      <c r="E400" s="207" t="str">
        <f>'Inventário Físico'!B86</f>
        <v>Mangueira</v>
      </c>
      <c r="F400" s="207"/>
      <c r="G400" s="207"/>
      <c r="H400" s="207"/>
      <c r="I400" s="207"/>
      <c r="J400" s="207"/>
      <c r="K400" s="207"/>
      <c r="L400" s="984">
        <f>'Inventário Físico'!M86</f>
        <v>9.5794441812787561</v>
      </c>
      <c r="M400" s="985"/>
      <c r="N400" s="984">
        <f t="shared" si="24"/>
        <v>41.622684967656191</v>
      </c>
      <c r="O400" s="985"/>
      <c r="P400" s="984">
        <f t="shared" si="25"/>
        <v>499.47221961187427</v>
      </c>
      <c r="Q400" s="986"/>
    </row>
    <row r="401" spans="2:17" x14ac:dyDescent="0.25">
      <c r="B401" s="210"/>
      <c r="C401" s="207"/>
      <c r="D401" s="207" t="s">
        <v>486</v>
      </c>
      <c r="E401" s="207" t="str">
        <f>'Inventário Físico'!B87</f>
        <v>Equipamento 2</v>
      </c>
      <c r="F401" s="207"/>
      <c r="G401" s="207"/>
      <c r="H401" s="207"/>
      <c r="I401" s="207"/>
      <c r="J401" s="207"/>
      <c r="K401" s="207"/>
      <c r="L401" s="984">
        <f>'Inventário Físico'!M87</f>
        <v>0</v>
      </c>
      <c r="M401" s="985"/>
      <c r="N401" s="984">
        <f t="shared" si="24"/>
        <v>0</v>
      </c>
      <c r="O401" s="985"/>
      <c r="P401" s="984">
        <f t="shared" si="25"/>
        <v>0</v>
      </c>
      <c r="Q401" s="986"/>
    </row>
    <row r="402" spans="2:17" x14ac:dyDescent="0.25">
      <c r="B402" s="210"/>
      <c r="C402" s="207"/>
      <c r="D402" s="207" t="s">
        <v>487</v>
      </c>
      <c r="E402" s="207" t="str">
        <f>'Inventário Físico'!B88</f>
        <v>Equipamento 3</v>
      </c>
      <c r="F402" s="207"/>
      <c r="G402" s="207"/>
      <c r="H402" s="207"/>
      <c r="I402" s="207"/>
      <c r="J402" s="207"/>
      <c r="K402" s="207"/>
      <c r="L402" s="984">
        <f>'Inventário Físico'!M88</f>
        <v>0</v>
      </c>
      <c r="M402" s="985"/>
      <c r="N402" s="984">
        <f t="shared" si="24"/>
        <v>0</v>
      </c>
      <c r="O402" s="985"/>
      <c r="P402" s="984">
        <f t="shared" si="25"/>
        <v>0</v>
      </c>
      <c r="Q402" s="986"/>
    </row>
    <row r="403" spans="2:17" x14ac:dyDescent="0.25">
      <c r="B403" s="210"/>
      <c r="C403" s="207"/>
      <c r="D403" s="207"/>
      <c r="E403" s="270" t="str">
        <f>'Inventário Físico'!B89</f>
        <v xml:space="preserve">Gestação em baias coeltivas </v>
      </c>
      <c r="F403" s="207"/>
      <c r="G403" s="207"/>
      <c r="H403" s="207"/>
      <c r="I403" s="207"/>
      <c r="J403" s="207"/>
      <c r="K403" s="207"/>
      <c r="L403" s="984"/>
      <c r="M403" s="985"/>
      <c r="N403" s="984"/>
      <c r="O403" s="985"/>
      <c r="P403" s="984"/>
      <c r="Q403" s="986"/>
    </row>
    <row r="404" spans="2:17" x14ac:dyDescent="0.25">
      <c r="B404" s="210"/>
      <c r="C404" s="207"/>
      <c r="D404" s="207" t="s">
        <v>488</v>
      </c>
      <c r="E404" s="207" t="str">
        <f>'Inventário Físico'!B90</f>
        <v xml:space="preserve">Estação automática de alimentação </v>
      </c>
      <c r="F404" s="207"/>
      <c r="G404" s="207"/>
      <c r="H404" s="207"/>
      <c r="I404" s="207"/>
      <c r="J404" s="207"/>
      <c r="K404" s="207"/>
      <c r="L404" s="984">
        <f>'Inventário Físico'!M90</f>
        <v>177.02830549833689</v>
      </c>
      <c r="M404" s="985"/>
      <c r="N404" s="984">
        <f t="shared" ref="N404:N414" si="26">L404*4.345</f>
        <v>769.18798739027375</v>
      </c>
      <c r="O404" s="985"/>
      <c r="P404" s="984">
        <f t="shared" ref="P404:P414" si="27">N404*12</f>
        <v>9230.2558486832859</v>
      </c>
      <c r="Q404" s="986"/>
    </row>
    <row r="405" spans="2:17" x14ac:dyDescent="0.25">
      <c r="B405" s="210"/>
      <c r="C405" s="207"/>
      <c r="D405" s="207" t="s">
        <v>489</v>
      </c>
      <c r="E405" s="207" t="str">
        <f>'Inventário Físico'!B91</f>
        <v>Chips (identificação eletrônica das matrizes)</v>
      </c>
      <c r="F405" s="207"/>
      <c r="G405" s="207"/>
      <c r="H405" s="207"/>
      <c r="I405" s="207"/>
      <c r="J405" s="207"/>
      <c r="K405" s="207"/>
      <c r="L405" s="984">
        <f>'Inventário Físico'!M91</f>
        <v>363.616139493584</v>
      </c>
      <c r="M405" s="985"/>
      <c r="N405" s="984">
        <f t="shared" si="26"/>
        <v>1579.9121260996224</v>
      </c>
      <c r="O405" s="985"/>
      <c r="P405" s="984">
        <f t="shared" si="27"/>
        <v>18958.945513195467</v>
      </c>
      <c r="Q405" s="986"/>
    </row>
    <row r="406" spans="2:17" x14ac:dyDescent="0.25">
      <c r="B406" s="210"/>
      <c r="C406" s="207"/>
      <c r="D406" s="207" t="s">
        <v>490</v>
      </c>
      <c r="E406" s="207" t="str">
        <f>'Inventário Físico'!B92</f>
        <v>Bebedouro gest. Coletiva</v>
      </c>
      <c r="F406" s="207"/>
      <c r="G406" s="207"/>
      <c r="H406" s="207"/>
      <c r="I406" s="207"/>
      <c r="J406" s="207"/>
      <c r="K406" s="207"/>
      <c r="L406" s="984">
        <f>'Inventário Físico'!M92</f>
        <v>0.67844327799182624</v>
      </c>
      <c r="M406" s="985"/>
      <c r="N406" s="984">
        <f t="shared" si="26"/>
        <v>2.947836042874485</v>
      </c>
      <c r="O406" s="985"/>
      <c r="P406" s="984">
        <f t="shared" si="27"/>
        <v>35.37403251449382</v>
      </c>
      <c r="Q406" s="986"/>
    </row>
    <row r="407" spans="2:17" x14ac:dyDescent="0.25">
      <c r="B407" s="210"/>
      <c r="C407" s="207"/>
      <c r="D407" s="207" t="s">
        <v>491</v>
      </c>
      <c r="E407" s="207" t="str">
        <f>'Inventário Físico'!B93</f>
        <v xml:space="preserve">Ventiladores </v>
      </c>
      <c r="F407" s="207"/>
      <c r="G407" s="207"/>
      <c r="H407" s="207"/>
      <c r="I407" s="207"/>
      <c r="J407" s="207"/>
      <c r="K407" s="207"/>
      <c r="L407" s="984">
        <f>'Inventário Físico'!M93</f>
        <v>6.4706796131400441</v>
      </c>
      <c r="M407" s="985"/>
      <c r="N407" s="984">
        <f t="shared" si="26"/>
        <v>28.115102919093491</v>
      </c>
      <c r="O407" s="985"/>
      <c r="P407" s="984">
        <f t="shared" si="27"/>
        <v>337.38123502912191</v>
      </c>
      <c r="Q407" s="986"/>
    </row>
    <row r="408" spans="2:17" x14ac:dyDescent="0.25">
      <c r="B408" s="210"/>
      <c r="C408" s="207"/>
      <c r="D408" s="207" t="s">
        <v>492</v>
      </c>
      <c r="E408" s="207" t="str">
        <f>'Inventário Físico'!B94</f>
        <v>Geladeira (vacinas)</v>
      </c>
      <c r="F408" s="207"/>
      <c r="G408" s="207"/>
      <c r="H408" s="207"/>
      <c r="I408" s="207"/>
      <c r="J408" s="207"/>
      <c r="K408" s="207"/>
      <c r="L408" s="984">
        <f>'Inventário Físico'!M94</f>
        <v>2.2054680503002326</v>
      </c>
      <c r="M408" s="985"/>
      <c r="N408" s="984">
        <f t="shared" si="26"/>
        <v>9.5827586785545105</v>
      </c>
      <c r="O408" s="985"/>
      <c r="P408" s="984">
        <f t="shared" si="27"/>
        <v>114.99310414265412</v>
      </c>
      <c r="Q408" s="986"/>
    </row>
    <row r="409" spans="2:17" x14ac:dyDescent="0.25">
      <c r="B409" s="210"/>
      <c r="C409" s="207"/>
      <c r="D409" s="207" t="s">
        <v>493</v>
      </c>
      <c r="E409" s="207" t="str">
        <f>'Inventário Físico'!B95</f>
        <v xml:space="preserve">Cortina </v>
      </c>
      <c r="F409" s="207"/>
      <c r="G409" s="207"/>
      <c r="H409" s="207"/>
      <c r="I409" s="207"/>
      <c r="J409" s="207"/>
      <c r="K409" s="207"/>
      <c r="L409" s="984">
        <f>'Inventário Físico'!M95</f>
        <v>14.084371985447682</v>
      </c>
      <c r="M409" s="985"/>
      <c r="N409" s="984">
        <f t="shared" si="26"/>
        <v>61.196596276770173</v>
      </c>
      <c r="O409" s="985"/>
      <c r="P409" s="984">
        <f t="shared" si="27"/>
        <v>734.35915532124204</v>
      </c>
      <c r="Q409" s="986"/>
    </row>
    <row r="410" spans="2:17" x14ac:dyDescent="0.25">
      <c r="B410" s="210"/>
      <c r="C410" s="207"/>
      <c r="D410" s="207" t="s">
        <v>494</v>
      </c>
      <c r="E410" s="207" t="str">
        <f>'Inventário Físico'!B96</f>
        <v xml:space="preserve">Lâmpada instalações </v>
      </c>
      <c r="F410" s="207"/>
      <c r="G410" s="207"/>
      <c r="H410" s="207"/>
      <c r="I410" s="207"/>
      <c r="J410" s="207"/>
      <c r="K410" s="207"/>
      <c r="L410" s="984">
        <f>'Inventário Físico'!M96</f>
        <v>0.81315001658902764</v>
      </c>
      <c r="M410" s="985"/>
      <c r="N410" s="984">
        <f t="shared" si="26"/>
        <v>3.5331368220793249</v>
      </c>
      <c r="O410" s="985"/>
      <c r="P410" s="984">
        <f t="shared" si="27"/>
        <v>42.3976418649519</v>
      </c>
      <c r="Q410" s="986"/>
    </row>
    <row r="411" spans="2:17" x14ac:dyDescent="0.25">
      <c r="B411" s="210"/>
      <c r="C411" s="207"/>
      <c r="D411" s="207" t="s">
        <v>495</v>
      </c>
      <c r="E411" s="207" t="str">
        <f>'Inventário Físico'!B97</f>
        <v xml:space="preserve">Termômetro </v>
      </c>
      <c r="F411" s="207"/>
      <c r="G411" s="207"/>
      <c r="H411" s="207"/>
      <c r="I411" s="207"/>
      <c r="J411" s="207"/>
      <c r="K411" s="207"/>
      <c r="L411" s="984">
        <f>'Inventário Físico'!M97</f>
        <v>0.46614208262294582</v>
      </c>
      <c r="M411" s="985"/>
      <c r="N411" s="984">
        <f t="shared" si="26"/>
        <v>2.0253873489966994</v>
      </c>
      <c r="O411" s="985"/>
      <c r="P411" s="984">
        <f t="shared" si="27"/>
        <v>24.304648187960392</v>
      </c>
      <c r="Q411" s="986"/>
    </row>
    <row r="412" spans="2:17" x14ac:dyDescent="0.25">
      <c r="B412" s="210"/>
      <c r="C412" s="207"/>
      <c r="D412" s="207" t="s">
        <v>496</v>
      </c>
      <c r="E412" s="207" t="str">
        <f>'Inventário Físico'!B98</f>
        <v>Mangueira</v>
      </c>
      <c r="F412" s="207"/>
      <c r="G412" s="207"/>
      <c r="H412" s="207"/>
      <c r="I412" s="207"/>
      <c r="J412" s="207"/>
      <c r="K412" s="207"/>
      <c r="L412" s="984">
        <f>'Inventário Físico'!M98</f>
        <v>3.8317776725115023</v>
      </c>
      <c r="M412" s="985"/>
      <c r="N412" s="984">
        <f t="shared" si="26"/>
        <v>16.649073987062476</v>
      </c>
      <c r="O412" s="985"/>
      <c r="P412" s="984">
        <f t="shared" si="27"/>
        <v>199.78888784474969</v>
      </c>
      <c r="Q412" s="986"/>
    </row>
    <row r="413" spans="2:17" x14ac:dyDescent="0.25">
      <c r="B413" s="210"/>
      <c r="C413" s="207"/>
      <c r="D413" s="207" t="s">
        <v>497</v>
      </c>
      <c r="E413" s="207" t="str">
        <f>'Inventário Físico'!B99</f>
        <v>Equipamento 2</v>
      </c>
      <c r="F413" s="207"/>
      <c r="G413" s="207"/>
      <c r="H413" s="207"/>
      <c r="I413" s="207"/>
      <c r="J413" s="207"/>
      <c r="K413" s="207"/>
      <c r="L413" s="984">
        <f>'Inventário Físico'!M99</f>
        <v>0</v>
      </c>
      <c r="M413" s="985"/>
      <c r="N413" s="984">
        <f t="shared" si="26"/>
        <v>0</v>
      </c>
      <c r="O413" s="985"/>
      <c r="P413" s="984">
        <f t="shared" si="27"/>
        <v>0</v>
      </c>
      <c r="Q413" s="986"/>
    </row>
    <row r="414" spans="2:17" x14ac:dyDescent="0.25">
      <c r="B414" s="210"/>
      <c r="C414" s="207"/>
      <c r="D414" s="207" t="s">
        <v>498</v>
      </c>
      <c r="E414" s="207" t="str">
        <f>'Inventário Físico'!B100</f>
        <v>Equipamento 3</v>
      </c>
      <c r="F414" s="207"/>
      <c r="G414" s="207"/>
      <c r="H414" s="207"/>
      <c r="I414" s="207"/>
      <c r="J414" s="207"/>
      <c r="K414" s="207"/>
      <c r="L414" s="984">
        <f>'Inventário Físico'!M100</f>
        <v>0</v>
      </c>
      <c r="M414" s="985"/>
      <c r="N414" s="984">
        <f t="shared" si="26"/>
        <v>0</v>
      </c>
      <c r="O414" s="985"/>
      <c r="P414" s="984">
        <f t="shared" si="27"/>
        <v>0</v>
      </c>
      <c r="Q414" s="986"/>
    </row>
    <row r="415" spans="2:17" x14ac:dyDescent="0.25">
      <c r="B415" s="1036" t="s">
        <v>538</v>
      </c>
      <c r="C415" s="1037"/>
      <c r="D415" s="1037"/>
      <c r="E415" s="1037"/>
      <c r="F415" s="1037"/>
      <c r="G415" s="1037"/>
      <c r="H415" s="1037"/>
      <c r="I415" s="1037"/>
      <c r="J415" s="1037"/>
      <c r="K415" s="1037"/>
      <c r="L415" s="995">
        <f>SUM(L354:M370,L372:M380,L382:M390,L392:M402,L404:M414)</f>
        <v>1834.9091827112354</v>
      </c>
      <c r="M415" s="996"/>
      <c r="N415" s="995">
        <f>SUM(N354:O370,N372:O380,N382:O390,N392:O402,N404:O414)</f>
        <v>7972.6803988803158</v>
      </c>
      <c r="O415" s="996"/>
      <c r="P415" s="995">
        <f>SUM(P354:Q370,P372:Q380,P382:Q390,P392:Q402,P404:Q414)</f>
        <v>95672.164786563808</v>
      </c>
      <c r="Q415" s="997"/>
    </row>
    <row r="416" spans="2:17" x14ac:dyDescent="0.25">
      <c r="B416" s="214"/>
      <c r="C416" s="211"/>
      <c r="D416" s="211" t="s">
        <v>499</v>
      </c>
      <c r="E416" s="211" t="str">
        <f>'Inventário Físico'!B102</f>
        <v>Cela + escamoteador</v>
      </c>
      <c r="F416" s="211"/>
      <c r="G416" s="211"/>
      <c r="H416" s="211"/>
      <c r="I416" s="211"/>
      <c r="J416" s="211"/>
      <c r="K416" s="211"/>
      <c r="L416" s="1010">
        <f>'Inventário Físico'!M102</f>
        <v>1275.66224149188</v>
      </c>
      <c r="M416" s="1016"/>
      <c r="N416" s="1010">
        <f t="shared" ref="N416:N435" si="28">L416*4.345</f>
        <v>5542.7524392822179</v>
      </c>
      <c r="O416" s="1016"/>
      <c r="P416" s="1010">
        <f>N416*12</f>
        <v>66513.029271386622</v>
      </c>
      <c r="Q416" s="1011"/>
    </row>
    <row r="417" spans="2:17" x14ac:dyDescent="0.25">
      <c r="B417" s="214"/>
      <c r="C417" s="211"/>
      <c r="D417" s="211" t="s">
        <v>500</v>
      </c>
      <c r="E417" s="211" t="str">
        <f>'Inventário Físico'!B103</f>
        <v>Alimentador automático (maternidade)</v>
      </c>
      <c r="F417" s="211"/>
      <c r="G417" s="211"/>
      <c r="H417" s="211"/>
      <c r="I417" s="211"/>
      <c r="J417" s="211"/>
      <c r="K417" s="211"/>
      <c r="L417" s="1010">
        <f>'Inventário Físico'!M103</f>
        <v>52.129196880112154</v>
      </c>
      <c r="M417" s="1016"/>
      <c r="N417" s="1010">
        <f t="shared" si="28"/>
        <v>226.50136044408731</v>
      </c>
      <c r="O417" s="1016"/>
      <c r="P417" s="1010">
        <f t="shared" ref="P417:P435" si="29">N417*12</f>
        <v>2718.0163253290475</v>
      </c>
      <c r="Q417" s="1011"/>
    </row>
    <row r="418" spans="2:17" x14ac:dyDescent="0.25">
      <c r="B418" s="214"/>
      <c r="C418" s="211"/>
      <c r="D418" s="211" t="s">
        <v>501</v>
      </c>
      <c r="E418" s="211" t="str">
        <f>'Inventário Físico'!B104</f>
        <v xml:space="preserve">Bebedouro </v>
      </c>
      <c r="F418" s="211"/>
      <c r="G418" s="211"/>
      <c r="H418" s="211"/>
      <c r="I418" s="211"/>
      <c r="J418" s="211"/>
      <c r="K418" s="211"/>
      <c r="L418" s="1010">
        <f>'Inventário Físico'!M104</f>
        <v>11.06129508804282</v>
      </c>
      <c r="M418" s="1016"/>
      <c r="N418" s="1010">
        <f t="shared" si="28"/>
        <v>48.061327157546053</v>
      </c>
      <c r="O418" s="1016"/>
      <c r="P418" s="1010">
        <f t="shared" si="29"/>
        <v>576.73592589055261</v>
      </c>
      <c r="Q418" s="1011"/>
    </row>
    <row r="419" spans="2:17" x14ac:dyDescent="0.25">
      <c r="B419" s="214"/>
      <c r="C419" s="211"/>
      <c r="D419" s="211" t="s">
        <v>502</v>
      </c>
      <c r="E419" s="211" t="str">
        <f>'Inventário Físico'!B105</f>
        <v xml:space="preserve">Escamoteador </v>
      </c>
      <c r="F419" s="211"/>
      <c r="G419" s="211"/>
      <c r="H419" s="211"/>
      <c r="I419" s="211"/>
      <c r="J419" s="211"/>
      <c r="K419" s="211"/>
      <c r="L419" s="1010">
        <f>'Inventário Físico'!M105</f>
        <v>0</v>
      </c>
      <c r="M419" s="1016"/>
      <c r="N419" s="1010">
        <f t="shared" si="28"/>
        <v>0</v>
      </c>
      <c r="O419" s="1016"/>
      <c r="P419" s="1010">
        <f t="shared" si="29"/>
        <v>0</v>
      </c>
      <c r="Q419" s="1011"/>
    </row>
    <row r="420" spans="2:17" x14ac:dyDescent="0.25">
      <c r="B420" s="214"/>
      <c r="C420" s="211"/>
      <c r="D420" s="211" t="s">
        <v>503</v>
      </c>
      <c r="E420" s="211" t="str">
        <f>'Inventário Físico'!B106</f>
        <v xml:space="preserve">Lâmpada de aquecimento para leitões </v>
      </c>
      <c r="F420" s="211"/>
      <c r="G420" s="211"/>
      <c r="H420" s="211"/>
      <c r="I420" s="211"/>
      <c r="J420" s="211"/>
      <c r="K420" s="211"/>
      <c r="L420" s="1010">
        <f>'Inventário Físico'!M106</f>
        <v>263.70007421562059</v>
      </c>
      <c r="M420" s="1016"/>
      <c r="N420" s="1010">
        <f t="shared" si="28"/>
        <v>1145.7768224668714</v>
      </c>
      <c r="O420" s="1016"/>
      <c r="P420" s="1010">
        <f t="shared" si="29"/>
        <v>13749.321869602456</v>
      </c>
      <c r="Q420" s="1011"/>
    </row>
    <row r="421" spans="2:17" x14ac:dyDescent="0.25">
      <c r="B421" s="214"/>
      <c r="C421" s="211"/>
      <c r="D421" s="211" t="s">
        <v>504</v>
      </c>
      <c r="E421" s="211" t="str">
        <f>'Inventário Físico'!B107</f>
        <v>Comedouro creep feeding</v>
      </c>
      <c r="F421" s="211"/>
      <c r="G421" s="211"/>
      <c r="H421" s="211"/>
      <c r="I421" s="211"/>
      <c r="J421" s="211"/>
      <c r="K421" s="211"/>
      <c r="L421" s="1010">
        <f>'Inventário Físico'!M107</f>
        <v>30.917595497107477</v>
      </c>
      <c r="M421" s="1016"/>
      <c r="N421" s="1010">
        <f t="shared" si="28"/>
        <v>134.33695243493199</v>
      </c>
      <c r="O421" s="1016"/>
      <c r="P421" s="1010">
        <f t="shared" si="29"/>
        <v>1612.043429219184</v>
      </c>
      <c r="Q421" s="1011"/>
    </row>
    <row r="422" spans="2:17" x14ac:dyDescent="0.25">
      <c r="B422" s="214"/>
      <c r="C422" s="211"/>
      <c r="D422" s="211" t="s">
        <v>505</v>
      </c>
      <c r="E422" s="211" t="str">
        <f>'Inventário Físico'!B108</f>
        <v xml:space="preserve">Euipamento corte de cauda </v>
      </c>
      <c r="F422" s="211"/>
      <c r="G422" s="211"/>
      <c r="H422" s="211"/>
      <c r="I422" s="211"/>
      <c r="J422" s="211"/>
      <c r="K422" s="211"/>
      <c r="L422" s="1010">
        <f>'Inventário Físico'!M108</f>
        <v>2.5520252997052331</v>
      </c>
      <c r="M422" s="1016"/>
      <c r="N422" s="1010">
        <f t="shared" si="28"/>
        <v>11.088549927219237</v>
      </c>
      <c r="O422" s="1016"/>
      <c r="P422" s="1010">
        <f t="shared" si="29"/>
        <v>133.06259912663086</v>
      </c>
      <c r="Q422" s="1011"/>
    </row>
    <row r="423" spans="2:17" ht="31.5" customHeight="1" x14ac:dyDescent="0.25">
      <c r="B423" s="214"/>
      <c r="C423" s="211"/>
      <c r="D423" s="211" t="s">
        <v>506</v>
      </c>
      <c r="E423" s="211" t="str">
        <f>'Inventário Físico'!B109</f>
        <v>Desbastador de dentes</v>
      </c>
      <c r="F423" s="211"/>
      <c r="G423" s="211"/>
      <c r="H423" s="211"/>
      <c r="I423" s="211"/>
      <c r="J423" s="211"/>
      <c r="K423" s="211"/>
      <c r="L423" s="1010">
        <f>'Inventário Físico'!M109</f>
        <v>3.0574632404411726</v>
      </c>
      <c r="M423" s="1016"/>
      <c r="N423" s="1010">
        <f t="shared" si="28"/>
        <v>13.284677779716894</v>
      </c>
      <c r="O423" s="1016"/>
      <c r="P423" s="1010">
        <f t="shared" si="29"/>
        <v>159.41613335660273</v>
      </c>
      <c r="Q423" s="1011"/>
    </row>
    <row r="424" spans="2:17" x14ac:dyDescent="0.25">
      <c r="B424" s="214"/>
      <c r="C424" s="211"/>
      <c r="D424" s="211" t="s">
        <v>507</v>
      </c>
      <c r="E424" s="211" t="str">
        <f>'Inventário Físico'!B110</f>
        <v xml:space="preserve">Aplicador de vacinas </v>
      </c>
      <c r="F424" s="211"/>
      <c r="G424" s="211"/>
      <c r="H424" s="211"/>
      <c r="I424" s="211"/>
      <c r="J424" s="211"/>
      <c r="K424" s="211"/>
      <c r="L424" s="1010">
        <f>'Inventário Físico'!M110</f>
        <v>0.81890343651772346</v>
      </c>
      <c r="M424" s="1016"/>
      <c r="N424" s="1010">
        <f t="shared" si="28"/>
        <v>3.5581354316695082</v>
      </c>
      <c r="O424" s="1016"/>
      <c r="P424" s="1010">
        <f t="shared" si="29"/>
        <v>42.697625180034095</v>
      </c>
      <c r="Q424" s="1011"/>
    </row>
    <row r="425" spans="2:17" x14ac:dyDescent="0.25">
      <c r="B425" s="214"/>
      <c r="C425" s="211"/>
      <c r="D425" s="211" t="s">
        <v>508</v>
      </c>
      <c r="E425" s="211" t="str">
        <f>'Inventário Físico'!B111</f>
        <v xml:space="preserve">Carrinho para alimentação </v>
      </c>
      <c r="F425" s="211"/>
      <c r="G425" s="211"/>
      <c r="H425" s="211"/>
      <c r="I425" s="211"/>
      <c r="J425" s="211"/>
      <c r="K425" s="211"/>
      <c r="L425" s="1010">
        <f>'Inventário Físico'!M111</f>
        <v>0.98910877607497871</v>
      </c>
      <c r="M425" s="1016"/>
      <c r="N425" s="1010">
        <f t="shared" si="28"/>
        <v>4.2976776320457821</v>
      </c>
      <c r="O425" s="1016"/>
      <c r="P425" s="1010">
        <f t="shared" si="29"/>
        <v>51.572131584549382</v>
      </c>
      <c r="Q425" s="1011"/>
    </row>
    <row r="426" spans="2:17" x14ac:dyDescent="0.25">
      <c r="B426" s="214"/>
      <c r="C426" s="211"/>
      <c r="D426" s="211" t="s">
        <v>509</v>
      </c>
      <c r="E426" s="211" t="str">
        <f>'Inventário Físico'!B112</f>
        <v>Conchas</v>
      </c>
      <c r="F426" s="211"/>
      <c r="G426" s="211"/>
      <c r="H426" s="211"/>
      <c r="I426" s="211"/>
      <c r="J426" s="211"/>
      <c r="K426" s="211"/>
      <c r="L426" s="1010">
        <f>'Inventário Físico'!M112</f>
        <v>0.28958880307769613</v>
      </c>
      <c r="M426" s="1016"/>
      <c r="N426" s="1010">
        <f t="shared" si="28"/>
        <v>1.2582633493725897</v>
      </c>
      <c r="O426" s="1016"/>
      <c r="P426" s="1010">
        <f t="shared" si="29"/>
        <v>15.099160192471075</v>
      </c>
      <c r="Q426" s="1011"/>
    </row>
    <row r="427" spans="2:17" x14ac:dyDescent="0.25">
      <c r="B427" s="214"/>
      <c r="C427" s="211"/>
      <c r="D427" s="211" t="s">
        <v>510</v>
      </c>
      <c r="E427" s="211" t="str">
        <f>'Inventário Físico'!B113</f>
        <v xml:space="preserve">Balança </v>
      </c>
      <c r="F427" s="211"/>
      <c r="G427" s="211"/>
      <c r="H427" s="211"/>
      <c r="I427" s="211"/>
      <c r="J427" s="211"/>
      <c r="K427" s="211"/>
      <c r="L427" s="1010">
        <f>'Inventário Físico'!M113</f>
        <v>14.383549821739873</v>
      </c>
      <c r="M427" s="1016"/>
      <c r="N427" s="1010">
        <f t="shared" si="28"/>
        <v>62.496523975459745</v>
      </c>
      <c r="O427" s="1016"/>
      <c r="P427" s="1010">
        <f t="shared" si="29"/>
        <v>749.95828770551691</v>
      </c>
      <c r="Q427" s="1011"/>
    </row>
    <row r="428" spans="2:17" x14ac:dyDescent="0.25">
      <c r="B428" s="214"/>
      <c r="C428" s="211"/>
      <c r="D428" s="211" t="s">
        <v>511</v>
      </c>
      <c r="E428" s="211" t="str">
        <f>'Inventário Físico'!B114</f>
        <v>Geladeira (vacinas)</v>
      </c>
      <c r="F428" s="211"/>
      <c r="G428" s="211"/>
      <c r="H428" s="211"/>
      <c r="I428" s="211"/>
      <c r="J428" s="211"/>
      <c r="K428" s="211"/>
      <c r="L428" s="1010">
        <f>'Inventário Físico'!M114</f>
        <v>4.4109361006004653</v>
      </c>
      <c r="M428" s="1016"/>
      <c r="N428" s="1010">
        <f t="shared" si="28"/>
        <v>19.165517357109021</v>
      </c>
      <c r="O428" s="1016"/>
      <c r="P428" s="1010">
        <f t="shared" si="29"/>
        <v>229.98620828530824</v>
      </c>
      <c r="Q428" s="1011"/>
    </row>
    <row r="429" spans="2:17" x14ac:dyDescent="0.25">
      <c r="B429" s="214"/>
      <c r="C429" s="211"/>
      <c r="D429" s="211" t="s">
        <v>512</v>
      </c>
      <c r="E429" s="211" t="str">
        <f>'Inventário Físico'!B115</f>
        <v xml:space="preserve">Ventiladores </v>
      </c>
      <c r="F429" s="211"/>
      <c r="G429" s="211"/>
      <c r="H429" s="211"/>
      <c r="I429" s="211"/>
      <c r="J429" s="211"/>
      <c r="K429" s="211"/>
      <c r="L429" s="1010">
        <f>'Inventário Físico'!M115</f>
        <v>32.353398065700219</v>
      </c>
      <c r="M429" s="1016"/>
      <c r="N429" s="1010">
        <f t="shared" si="28"/>
        <v>140.57551459546744</v>
      </c>
      <c r="O429" s="1016"/>
      <c r="P429" s="1010">
        <f t="shared" si="29"/>
        <v>1686.9061751456093</v>
      </c>
      <c r="Q429" s="1011"/>
    </row>
    <row r="430" spans="2:17" x14ac:dyDescent="0.25">
      <c r="B430" s="214"/>
      <c r="C430" s="211"/>
      <c r="D430" s="211" t="s">
        <v>513</v>
      </c>
      <c r="E430" s="211" t="str">
        <f>'Inventário Físico'!B116</f>
        <v xml:space="preserve">Cortina </v>
      </c>
      <c r="F430" s="211"/>
      <c r="G430" s="211"/>
      <c r="H430" s="211"/>
      <c r="I430" s="211"/>
      <c r="J430" s="211"/>
      <c r="K430" s="211"/>
      <c r="L430" s="1010">
        <f>'Inventário Físico'!M116</f>
        <v>16.492081213364504</v>
      </c>
      <c r="M430" s="1016"/>
      <c r="N430" s="1010">
        <f t="shared" si="28"/>
        <v>71.658092872068764</v>
      </c>
      <c r="O430" s="1016"/>
      <c r="P430" s="1010">
        <f t="shared" si="29"/>
        <v>859.89711446482511</v>
      </c>
      <c r="Q430" s="1011"/>
    </row>
    <row r="431" spans="2:17" x14ac:dyDescent="0.25">
      <c r="B431" s="214"/>
      <c r="C431" s="211"/>
      <c r="D431" s="211" t="s">
        <v>514</v>
      </c>
      <c r="E431" s="211" t="str">
        <f>'Inventário Físico'!B117</f>
        <v xml:space="preserve">Lâmpada instalações </v>
      </c>
      <c r="F431" s="211"/>
      <c r="G431" s="211"/>
      <c r="H431" s="211"/>
      <c r="I431" s="211"/>
      <c r="J431" s="211"/>
      <c r="K431" s="211"/>
      <c r="L431" s="1010">
        <f>'Inventário Físico'!M117</f>
        <v>4.0657500829451374</v>
      </c>
      <c r="M431" s="1016"/>
      <c r="N431" s="1010">
        <f t="shared" si="28"/>
        <v>17.665684110396622</v>
      </c>
      <c r="O431" s="1016"/>
      <c r="P431" s="1010">
        <f t="shared" si="29"/>
        <v>211.98820932475945</v>
      </c>
      <c r="Q431" s="1011"/>
    </row>
    <row r="432" spans="2:17" x14ac:dyDescent="0.25">
      <c r="B432" s="214"/>
      <c r="C432" s="211"/>
      <c r="D432" s="211" t="s">
        <v>515</v>
      </c>
      <c r="E432" s="211" t="str">
        <f>'Inventário Físico'!B118</f>
        <v xml:space="preserve">Termômetro </v>
      </c>
      <c r="F432" s="211"/>
      <c r="G432" s="211"/>
      <c r="H432" s="211"/>
      <c r="I432" s="211"/>
      <c r="J432" s="211"/>
      <c r="K432" s="211"/>
      <c r="L432" s="1010">
        <f>'Inventário Físico'!M118</f>
        <v>2.3307104131147289</v>
      </c>
      <c r="M432" s="1016"/>
      <c r="N432" s="1010">
        <f t="shared" si="28"/>
        <v>10.126936744983496</v>
      </c>
      <c r="O432" s="1016"/>
      <c r="P432" s="1010">
        <f t="shared" si="29"/>
        <v>121.52324093980195</v>
      </c>
      <c r="Q432" s="1011"/>
    </row>
    <row r="433" spans="2:17" x14ac:dyDescent="0.25">
      <c r="B433" s="214"/>
      <c r="C433" s="211"/>
      <c r="D433" s="211" t="s">
        <v>516</v>
      </c>
      <c r="E433" s="211" t="str">
        <f>'Inventário Físico'!B119</f>
        <v>Mangueira</v>
      </c>
      <c r="F433" s="211"/>
      <c r="G433" s="211"/>
      <c r="H433" s="211"/>
      <c r="I433" s="211"/>
      <c r="J433" s="211"/>
      <c r="K433" s="211"/>
      <c r="L433" s="1010">
        <f>'Inventário Físico'!M119</f>
        <v>9.5794441812787561</v>
      </c>
      <c r="M433" s="1016"/>
      <c r="N433" s="1010">
        <f t="shared" si="28"/>
        <v>41.622684967656191</v>
      </c>
      <c r="O433" s="1016"/>
      <c r="P433" s="1010">
        <f t="shared" si="29"/>
        <v>499.47221961187427</v>
      </c>
      <c r="Q433" s="1011"/>
    </row>
    <row r="434" spans="2:17" x14ac:dyDescent="0.25">
      <c r="B434" s="214"/>
      <c r="C434" s="211"/>
      <c r="D434" s="211" t="s">
        <v>517</v>
      </c>
      <c r="E434" s="211" t="str">
        <f>'Inventário Físico'!B120</f>
        <v>Equipamento 2</v>
      </c>
      <c r="F434" s="211"/>
      <c r="G434" s="211"/>
      <c r="H434" s="211"/>
      <c r="I434" s="211"/>
      <c r="J434" s="211"/>
      <c r="K434" s="211"/>
      <c r="L434" s="1010">
        <f>'Inventário Físico'!M120</f>
        <v>0</v>
      </c>
      <c r="M434" s="1016"/>
      <c r="N434" s="1010">
        <f t="shared" si="28"/>
        <v>0</v>
      </c>
      <c r="O434" s="1016"/>
      <c r="P434" s="1010">
        <f t="shared" si="29"/>
        <v>0</v>
      </c>
      <c r="Q434" s="1011"/>
    </row>
    <row r="435" spans="2:17" x14ac:dyDescent="0.25">
      <c r="B435" s="214"/>
      <c r="C435" s="211"/>
      <c r="D435" s="211" t="s">
        <v>518</v>
      </c>
      <c r="E435" s="211" t="str">
        <f>'Inventário Físico'!B121</f>
        <v>Equipamento 3</v>
      </c>
      <c r="F435" s="211"/>
      <c r="G435" s="211"/>
      <c r="H435" s="211"/>
      <c r="I435" s="211"/>
      <c r="J435" s="211"/>
      <c r="K435" s="211"/>
      <c r="L435" s="1010">
        <f>'Inventário Físico'!M121</f>
        <v>0</v>
      </c>
      <c r="M435" s="1016"/>
      <c r="N435" s="1010">
        <f t="shared" si="28"/>
        <v>0</v>
      </c>
      <c r="O435" s="1016"/>
      <c r="P435" s="1010">
        <f t="shared" si="29"/>
        <v>0</v>
      </c>
      <c r="Q435" s="1011"/>
    </row>
    <row r="436" spans="2:17" x14ac:dyDescent="0.25">
      <c r="B436" s="1038" t="s">
        <v>539</v>
      </c>
      <c r="C436" s="1039"/>
      <c r="D436" s="1039"/>
      <c r="E436" s="1039"/>
      <c r="F436" s="1039"/>
      <c r="G436" s="1039"/>
      <c r="H436" s="1039"/>
      <c r="I436" s="1039"/>
      <c r="J436" s="1039"/>
      <c r="K436" s="1039"/>
      <c r="L436" s="998">
        <f>SUM(L416:M435)</f>
        <v>1724.7933626073243</v>
      </c>
      <c r="M436" s="999"/>
      <c r="N436" s="998">
        <f>SUM(N416:O435)</f>
        <v>7494.2271605288188</v>
      </c>
      <c r="O436" s="999"/>
      <c r="P436" s="998">
        <f>SUM(P416:Q435)</f>
        <v>89930.725926345825</v>
      </c>
      <c r="Q436" s="1027"/>
    </row>
    <row r="437" spans="2:17" x14ac:dyDescent="0.25">
      <c r="B437" s="215"/>
      <c r="C437" s="216"/>
      <c r="D437" s="216" t="s">
        <v>519</v>
      </c>
      <c r="E437" s="216" t="str">
        <f>'Inventário Físico'!B123</f>
        <v xml:space="preserve">Piso de plástico </v>
      </c>
      <c r="F437" s="216"/>
      <c r="G437" s="216"/>
      <c r="H437" s="216"/>
      <c r="I437" s="216"/>
      <c r="J437" s="216"/>
      <c r="K437" s="216"/>
      <c r="L437" s="1007">
        <f>'Inventário Físico'!M123</f>
        <v>419.14056268825374</v>
      </c>
      <c r="M437" s="1018"/>
      <c r="N437" s="1007">
        <f t="shared" ref="N437:N446" si="30">L437*4.345</f>
        <v>1821.1657448804624</v>
      </c>
      <c r="O437" s="1018"/>
      <c r="P437" s="1007">
        <f>N437*12</f>
        <v>21853.988938565548</v>
      </c>
      <c r="Q437" s="1008"/>
    </row>
    <row r="438" spans="2:17" x14ac:dyDescent="0.25">
      <c r="B438" s="215"/>
      <c r="C438" s="216"/>
      <c r="D438" s="216" t="s">
        <v>520</v>
      </c>
      <c r="E438" s="216" t="str">
        <f>'Inventário Físico'!B124</f>
        <v>Comedouro</v>
      </c>
      <c r="F438" s="216"/>
      <c r="G438" s="216"/>
      <c r="H438" s="216"/>
      <c r="I438" s="216"/>
      <c r="J438" s="216"/>
      <c r="K438" s="216"/>
      <c r="L438" s="1007">
        <f>'Inventário Físico'!M124</f>
        <v>72.980875632157023</v>
      </c>
      <c r="M438" s="1018"/>
      <c r="N438" s="1007">
        <f t="shared" si="30"/>
        <v>317.10190462172227</v>
      </c>
      <c r="O438" s="1018"/>
      <c r="P438" s="1007">
        <f t="shared" ref="P438:P446" si="31">N438*12</f>
        <v>3805.2228554606672</v>
      </c>
      <c r="Q438" s="1008"/>
    </row>
    <row r="439" spans="2:17" x14ac:dyDescent="0.25">
      <c r="B439" s="215"/>
      <c r="C439" s="216"/>
      <c r="D439" s="216" t="s">
        <v>521</v>
      </c>
      <c r="E439" s="216" t="str">
        <f>'Inventário Físico'!B125</f>
        <v xml:space="preserve">Bebedouro </v>
      </c>
      <c r="F439" s="216"/>
      <c r="G439" s="216"/>
      <c r="H439" s="216"/>
      <c r="I439" s="216"/>
      <c r="J439" s="216"/>
      <c r="K439" s="216"/>
      <c r="L439" s="1007">
        <f>'Inventário Físico'!M125</f>
        <v>40.049956457485109</v>
      </c>
      <c r="M439" s="1018"/>
      <c r="N439" s="1007">
        <f t="shared" si="30"/>
        <v>174.01706080777279</v>
      </c>
      <c r="O439" s="1018"/>
      <c r="P439" s="1007">
        <f t="shared" si="31"/>
        <v>2088.2047296932733</v>
      </c>
      <c r="Q439" s="1008"/>
    </row>
    <row r="440" spans="2:17" x14ac:dyDescent="0.25">
      <c r="B440" s="215"/>
      <c r="C440" s="216"/>
      <c r="D440" s="216" t="s">
        <v>522</v>
      </c>
      <c r="E440" s="216" t="str">
        <f>'Inventário Físico'!B126</f>
        <v xml:space="preserve">Lâmpada de aquecimento para leitões </v>
      </c>
      <c r="F440" s="216"/>
      <c r="G440" s="216"/>
      <c r="H440" s="216"/>
      <c r="I440" s="216"/>
      <c r="J440" s="216"/>
      <c r="K440" s="216"/>
      <c r="L440" s="1007">
        <f>'Inventário Físico'!M126</f>
        <v>14.152262340606297</v>
      </c>
      <c r="M440" s="1018"/>
      <c r="N440" s="1007">
        <f t="shared" si="30"/>
        <v>61.491579869934355</v>
      </c>
      <c r="O440" s="1018"/>
      <c r="P440" s="1007">
        <f t="shared" si="31"/>
        <v>737.89895843921227</v>
      </c>
      <c r="Q440" s="1008"/>
    </row>
    <row r="441" spans="2:17" x14ac:dyDescent="0.25">
      <c r="B441" s="215"/>
      <c r="C441" s="216"/>
      <c r="D441" s="216" t="s">
        <v>523</v>
      </c>
      <c r="E441" s="216" t="str">
        <f>'Inventário Físico'!B127</f>
        <v xml:space="preserve">Cortina </v>
      </c>
      <c r="F441" s="216"/>
      <c r="G441" s="216"/>
      <c r="H441" s="216"/>
      <c r="I441" s="216"/>
      <c r="J441" s="216"/>
      <c r="K441" s="216"/>
      <c r="L441" s="1007">
        <f>'Inventário Físico'!M127</f>
        <v>25.01584975758005</v>
      </c>
      <c r="M441" s="1018"/>
      <c r="N441" s="1007">
        <f t="shared" si="30"/>
        <v>108.6938671966853</v>
      </c>
      <c r="O441" s="1018"/>
      <c r="P441" s="1007">
        <f t="shared" si="31"/>
        <v>1304.3264063602237</v>
      </c>
      <c r="Q441" s="1008"/>
    </row>
    <row r="442" spans="2:17" x14ac:dyDescent="0.25">
      <c r="B442" s="215"/>
      <c r="C442" s="216"/>
      <c r="D442" s="216" t="s">
        <v>524</v>
      </c>
      <c r="E442" s="216" t="str">
        <f>'Inventário Físico'!B128</f>
        <v xml:space="preserve">Lâmpada instalações </v>
      </c>
      <c r="F442" s="216"/>
      <c r="G442" s="216"/>
      <c r="H442" s="216"/>
      <c r="I442" s="216"/>
      <c r="J442" s="216"/>
      <c r="K442" s="216"/>
      <c r="L442" s="1007">
        <f>'Inventário Físico'!M128</f>
        <v>5.6920501161231929</v>
      </c>
      <c r="M442" s="1018"/>
      <c r="N442" s="1007">
        <f t="shared" si="30"/>
        <v>24.731957754555271</v>
      </c>
      <c r="O442" s="1018"/>
      <c r="P442" s="1007">
        <f t="shared" si="31"/>
        <v>296.78349305466327</v>
      </c>
      <c r="Q442" s="1008"/>
    </row>
    <row r="443" spans="2:17" x14ac:dyDescent="0.25">
      <c r="B443" s="215"/>
      <c r="C443" s="216"/>
      <c r="D443" s="216" t="s">
        <v>525</v>
      </c>
      <c r="E443" s="216" t="str">
        <f>'Inventário Físico'!B129</f>
        <v xml:space="preserve">Termômetro </v>
      </c>
      <c r="F443" s="216"/>
      <c r="G443" s="216"/>
      <c r="H443" s="216"/>
      <c r="I443" s="216"/>
      <c r="J443" s="216"/>
      <c r="K443" s="216"/>
      <c r="L443" s="1007">
        <f>'Inventário Físico'!M129</f>
        <v>3.2629945783606207</v>
      </c>
      <c r="M443" s="1018"/>
      <c r="N443" s="1007">
        <f t="shared" si="30"/>
        <v>14.177711442976896</v>
      </c>
      <c r="O443" s="1018"/>
      <c r="P443" s="1007">
        <f t="shared" si="31"/>
        <v>170.13253731572274</v>
      </c>
      <c r="Q443" s="1008"/>
    </row>
    <row r="444" spans="2:17" x14ac:dyDescent="0.25">
      <c r="B444" s="215"/>
      <c r="C444" s="216"/>
      <c r="D444" s="216" t="s">
        <v>526</v>
      </c>
      <c r="E444" s="216" t="str">
        <f>'Inventário Físico'!B130</f>
        <v>Mangueira</v>
      </c>
      <c r="F444" s="216"/>
      <c r="G444" s="216"/>
      <c r="H444" s="216"/>
      <c r="I444" s="216"/>
      <c r="J444" s="216"/>
      <c r="K444" s="216"/>
      <c r="L444" s="1007">
        <f>'Inventário Físico'!M130</f>
        <v>13.411221853790259</v>
      </c>
      <c r="M444" s="1018"/>
      <c r="N444" s="1007">
        <f t="shared" si="30"/>
        <v>58.271758954718671</v>
      </c>
      <c r="O444" s="1018"/>
      <c r="P444" s="1007">
        <f t="shared" si="31"/>
        <v>699.26110745662402</v>
      </c>
      <c r="Q444" s="1008"/>
    </row>
    <row r="445" spans="2:17" x14ac:dyDescent="0.25">
      <c r="B445" s="215"/>
      <c r="C445" s="216"/>
      <c r="D445" s="216" t="s">
        <v>527</v>
      </c>
      <c r="E445" s="216" t="str">
        <f>'Inventário Físico'!B131</f>
        <v>Equipamento 2</v>
      </c>
      <c r="F445" s="216"/>
      <c r="G445" s="216"/>
      <c r="H445" s="216"/>
      <c r="I445" s="216"/>
      <c r="J445" s="216"/>
      <c r="K445" s="216"/>
      <c r="L445" s="1007">
        <f>'Inventário Físico'!M131</f>
        <v>0</v>
      </c>
      <c r="M445" s="1018"/>
      <c r="N445" s="1007">
        <f t="shared" si="30"/>
        <v>0</v>
      </c>
      <c r="O445" s="1018"/>
      <c r="P445" s="1007">
        <f t="shared" si="31"/>
        <v>0</v>
      </c>
      <c r="Q445" s="1008"/>
    </row>
    <row r="446" spans="2:17" x14ac:dyDescent="0.25">
      <c r="B446" s="215"/>
      <c r="C446" s="216"/>
      <c r="D446" s="216" t="s">
        <v>528</v>
      </c>
      <c r="E446" s="216" t="str">
        <f>'Inventário Físico'!B132</f>
        <v>Equipamento 3</v>
      </c>
      <c r="F446" s="216"/>
      <c r="G446" s="216"/>
      <c r="H446" s="216"/>
      <c r="I446" s="216"/>
      <c r="J446" s="216"/>
      <c r="K446" s="216"/>
      <c r="L446" s="1007">
        <f>'Inventário Físico'!M132</f>
        <v>0</v>
      </c>
      <c r="M446" s="1018"/>
      <c r="N446" s="1007">
        <f t="shared" si="30"/>
        <v>0</v>
      </c>
      <c r="O446" s="1018"/>
      <c r="P446" s="1007">
        <f t="shared" si="31"/>
        <v>0</v>
      </c>
      <c r="Q446" s="1008"/>
    </row>
    <row r="447" spans="2:17" x14ac:dyDescent="0.25">
      <c r="B447" s="1040" t="s">
        <v>540</v>
      </c>
      <c r="C447" s="1041"/>
      <c r="D447" s="1041"/>
      <c r="E447" s="1041"/>
      <c r="F447" s="1041"/>
      <c r="G447" s="1041"/>
      <c r="H447" s="1041"/>
      <c r="I447" s="1041"/>
      <c r="J447" s="1041"/>
      <c r="K447" s="1041"/>
      <c r="L447" s="1024">
        <f>SUM(L437:M446)</f>
        <v>593.70577342435627</v>
      </c>
      <c r="M447" s="1025"/>
      <c r="N447" s="1024">
        <f>SUM(N437:O446)</f>
        <v>2579.6515855288285</v>
      </c>
      <c r="O447" s="1025"/>
      <c r="P447" s="1024">
        <f>SUM(P437:Q446)</f>
        <v>30955.819026345929</v>
      </c>
      <c r="Q447" s="1026"/>
    </row>
    <row r="448" spans="2:17" x14ac:dyDescent="0.25">
      <c r="B448" s="219"/>
      <c r="C448" s="220"/>
      <c r="D448" s="299" t="s">
        <v>529</v>
      </c>
      <c r="E448" s="220" t="str">
        <f>'Inventário Físico'!B134</f>
        <v xml:space="preserve">Alimetador automático </v>
      </c>
      <c r="F448" s="220"/>
      <c r="G448" s="220"/>
      <c r="H448" s="220"/>
      <c r="I448" s="220"/>
      <c r="J448" s="220"/>
      <c r="K448" s="220"/>
      <c r="L448" s="987">
        <f>'Inventário Físico'!M134</f>
        <v>145.96175126431405</v>
      </c>
      <c r="M448" s="1017"/>
      <c r="N448" s="987">
        <f t="shared" ref="N448:N456" si="32">L448*4.345</f>
        <v>634.20380924344454</v>
      </c>
      <c r="O448" s="1017"/>
      <c r="P448" s="987">
        <f>N448*12</f>
        <v>7610.4457109213345</v>
      </c>
      <c r="Q448" s="988"/>
    </row>
    <row r="449" spans="2:17" x14ac:dyDescent="0.25">
      <c r="B449" s="219"/>
      <c r="C449" s="220"/>
      <c r="D449" s="299" t="s">
        <v>530</v>
      </c>
      <c r="E449" s="220" t="str">
        <f>'Inventário Físico'!B135</f>
        <v xml:space="preserve">Bebedouro </v>
      </c>
      <c r="F449" s="220"/>
      <c r="G449" s="220"/>
      <c r="H449" s="220"/>
      <c r="I449" s="220"/>
      <c r="J449" s="220"/>
      <c r="K449" s="220"/>
      <c r="L449" s="987">
        <f>'Inventário Físico'!M135</f>
        <v>40.049956457485109</v>
      </c>
      <c r="M449" s="1017"/>
      <c r="N449" s="987">
        <f t="shared" si="32"/>
        <v>174.01706080777279</v>
      </c>
      <c r="O449" s="1017"/>
      <c r="P449" s="987">
        <f t="shared" ref="P449:P456" si="33">N449*12</f>
        <v>2088.2047296932733</v>
      </c>
      <c r="Q449" s="988"/>
    </row>
    <row r="450" spans="2:17" x14ac:dyDescent="0.25">
      <c r="B450" s="219"/>
      <c r="C450" s="220"/>
      <c r="D450" s="299" t="s">
        <v>715</v>
      </c>
      <c r="E450" s="220" t="str">
        <f>'Inventário Físico'!B136</f>
        <v xml:space="preserve">Ventiladores </v>
      </c>
      <c r="F450" s="220"/>
      <c r="G450" s="220"/>
      <c r="H450" s="220"/>
      <c r="I450" s="220"/>
      <c r="J450" s="220"/>
      <c r="K450" s="220"/>
      <c r="L450" s="987">
        <f>'Inventário Físico'!M136</f>
        <v>181.17902916792124</v>
      </c>
      <c r="M450" s="1017"/>
      <c r="N450" s="987">
        <f t="shared" si="32"/>
        <v>787.22288173461777</v>
      </c>
      <c r="O450" s="1017"/>
      <c r="P450" s="987">
        <f t="shared" si="33"/>
        <v>9446.6745808154137</v>
      </c>
      <c r="Q450" s="988"/>
    </row>
    <row r="451" spans="2:17" x14ac:dyDescent="0.25">
      <c r="B451" s="219"/>
      <c r="C451" s="220"/>
      <c r="D451" s="299" t="s">
        <v>716</v>
      </c>
      <c r="E451" s="220" t="str">
        <f>'Inventário Físico'!B137</f>
        <v xml:space="preserve">Cortina </v>
      </c>
      <c r="F451" s="220"/>
      <c r="G451" s="220"/>
      <c r="H451" s="220"/>
      <c r="I451" s="220"/>
      <c r="J451" s="220"/>
      <c r="K451" s="220"/>
      <c r="L451" s="987">
        <f>'Inventário Físico'!M137</f>
        <v>152.42893875610002</v>
      </c>
      <c r="M451" s="1017"/>
      <c r="N451" s="987">
        <f t="shared" si="32"/>
        <v>662.30373889525458</v>
      </c>
      <c r="O451" s="1017"/>
      <c r="P451" s="987">
        <f t="shared" si="33"/>
        <v>7947.644866743055</v>
      </c>
      <c r="Q451" s="988"/>
    </row>
    <row r="452" spans="2:17" x14ac:dyDescent="0.25">
      <c r="B452" s="219"/>
      <c r="C452" s="220"/>
      <c r="D452" s="299" t="s">
        <v>717</v>
      </c>
      <c r="E452" s="220" t="str">
        <f>'Inventário Físico'!B138</f>
        <v xml:space="preserve">Lâmpadas instalação </v>
      </c>
      <c r="F452" s="220"/>
      <c r="G452" s="220"/>
      <c r="H452" s="220"/>
      <c r="I452" s="220"/>
      <c r="J452" s="220"/>
      <c r="K452" s="220"/>
      <c r="L452" s="987">
        <f>'Inventário Físico'!M138</f>
        <v>5.6920501161231929</v>
      </c>
      <c r="M452" s="1017"/>
      <c r="N452" s="987">
        <f t="shared" si="32"/>
        <v>24.731957754555271</v>
      </c>
      <c r="O452" s="1017"/>
      <c r="P452" s="987">
        <f t="shared" si="33"/>
        <v>296.78349305466327</v>
      </c>
      <c r="Q452" s="988"/>
    </row>
    <row r="453" spans="2:17" x14ac:dyDescent="0.25">
      <c r="B453" s="219"/>
      <c r="C453" s="220"/>
      <c r="D453" s="299" t="s">
        <v>718</v>
      </c>
      <c r="E453" s="220" t="str">
        <f>'Inventário Físico'!B139</f>
        <v xml:space="preserve">Termômetro </v>
      </c>
      <c r="F453" s="220"/>
      <c r="G453" s="220"/>
      <c r="H453" s="220"/>
      <c r="I453" s="220"/>
      <c r="J453" s="220"/>
      <c r="K453" s="220"/>
      <c r="L453" s="987">
        <f>'Inventário Físico'!M139</f>
        <v>6.5259891567212414</v>
      </c>
      <c r="M453" s="1017"/>
      <c r="N453" s="987">
        <f t="shared" si="32"/>
        <v>28.355422885953793</v>
      </c>
      <c r="O453" s="1017"/>
      <c r="P453" s="987">
        <f t="shared" si="33"/>
        <v>340.26507463144549</v>
      </c>
      <c r="Q453" s="988"/>
    </row>
    <row r="454" spans="2:17" x14ac:dyDescent="0.25">
      <c r="B454" s="219"/>
      <c r="C454" s="220"/>
      <c r="D454" s="299" t="s">
        <v>719</v>
      </c>
      <c r="E454" s="220" t="str">
        <f>'Inventário Físico'!B140</f>
        <v>Mangueira</v>
      </c>
      <c r="F454" s="220"/>
      <c r="G454" s="220"/>
      <c r="H454" s="220"/>
      <c r="I454" s="220"/>
      <c r="J454" s="220"/>
      <c r="K454" s="220"/>
      <c r="L454" s="987">
        <f>'Inventário Físico'!M140</f>
        <v>26.822443707580518</v>
      </c>
      <c r="M454" s="1017"/>
      <c r="N454" s="987">
        <f t="shared" si="32"/>
        <v>116.54351790943734</v>
      </c>
      <c r="O454" s="1017"/>
      <c r="P454" s="987">
        <f t="shared" si="33"/>
        <v>1398.522214913248</v>
      </c>
      <c r="Q454" s="988"/>
    </row>
    <row r="455" spans="2:17" ht="31.5" customHeight="1" x14ac:dyDescent="0.25">
      <c r="B455" s="219"/>
      <c r="C455" s="220"/>
      <c r="D455" s="299" t="s">
        <v>720</v>
      </c>
      <c r="E455" s="220" t="str">
        <f>'Inventário Físico'!B141</f>
        <v>xEquipamento 2</v>
      </c>
      <c r="F455" s="220"/>
      <c r="G455" s="220"/>
      <c r="H455" s="220"/>
      <c r="I455" s="220"/>
      <c r="J455" s="220"/>
      <c r="K455" s="220"/>
      <c r="L455" s="987">
        <f>'Inventário Físico'!M141</f>
        <v>0</v>
      </c>
      <c r="M455" s="1017"/>
      <c r="N455" s="987">
        <f t="shared" si="32"/>
        <v>0</v>
      </c>
      <c r="O455" s="1017"/>
      <c r="P455" s="987">
        <f t="shared" si="33"/>
        <v>0</v>
      </c>
      <c r="Q455" s="988"/>
    </row>
    <row r="456" spans="2:17" x14ac:dyDescent="0.25">
      <c r="B456" s="219"/>
      <c r="C456" s="220"/>
      <c r="D456" s="299" t="s">
        <v>721</v>
      </c>
      <c r="E456" s="220" t="str">
        <f>'Inventário Físico'!B142</f>
        <v>Equipamento 3</v>
      </c>
      <c r="F456" s="220"/>
      <c r="G456" s="220"/>
      <c r="H456" s="220"/>
      <c r="I456" s="220"/>
      <c r="J456" s="220"/>
      <c r="K456" s="220"/>
      <c r="L456" s="987">
        <f>'Inventário Físico'!M142</f>
        <v>0</v>
      </c>
      <c r="M456" s="1017"/>
      <c r="N456" s="987">
        <f t="shared" si="32"/>
        <v>0</v>
      </c>
      <c r="O456" s="1017"/>
      <c r="P456" s="987">
        <f t="shared" si="33"/>
        <v>0</v>
      </c>
      <c r="Q456" s="988"/>
    </row>
    <row r="457" spans="2:17" x14ac:dyDescent="0.25">
      <c r="B457" s="1030" t="s">
        <v>649</v>
      </c>
      <c r="C457" s="1031"/>
      <c r="D457" s="1031"/>
      <c r="E457" s="1031"/>
      <c r="F457" s="1031"/>
      <c r="G457" s="1031"/>
      <c r="H457" s="1031"/>
      <c r="I457" s="1031"/>
      <c r="J457" s="1031"/>
      <c r="K457" s="1031"/>
      <c r="L457" s="1021">
        <f>SUM(L448:M456)</f>
        <v>558.66015862624533</v>
      </c>
      <c r="M457" s="1022"/>
      <c r="N457" s="1021">
        <f>SUM(N448:O456)</f>
        <v>2427.3783892310362</v>
      </c>
      <c r="O457" s="1022"/>
      <c r="P457" s="1021">
        <f>SUM(P448:Q456)</f>
        <v>29128.540670772436</v>
      </c>
      <c r="Q457" s="1023"/>
    </row>
    <row r="458" spans="2:17" x14ac:dyDescent="0.25">
      <c r="B458" s="263"/>
      <c r="C458" s="264"/>
      <c r="D458" s="264"/>
      <c r="E458" s="271" t="str">
        <f>'Inventário Físico'!B143</f>
        <v xml:space="preserve">ESCRITÓRIO </v>
      </c>
      <c r="F458" s="264"/>
      <c r="G458" s="264"/>
      <c r="H458" s="264"/>
      <c r="I458" s="264"/>
      <c r="J458" s="264"/>
      <c r="K458" s="264"/>
      <c r="L458" s="989"/>
      <c r="M458" s="991"/>
      <c r="N458" s="989"/>
      <c r="O458" s="991"/>
      <c r="P458" s="1009"/>
      <c r="Q458" s="990"/>
    </row>
    <row r="459" spans="2:17" x14ac:dyDescent="0.25">
      <c r="B459" s="263"/>
      <c r="C459" s="264"/>
      <c r="D459" s="301">
        <v>2107</v>
      </c>
      <c r="E459" s="264" t="str">
        <f>'Inventário Físico'!B144</f>
        <v>Mesa</v>
      </c>
      <c r="F459" s="264"/>
      <c r="G459" s="264"/>
      <c r="H459" s="264"/>
      <c r="I459" s="264"/>
      <c r="J459" s="264"/>
      <c r="K459" s="264"/>
      <c r="L459" s="989">
        <f>'Inventário Físico'!M144</f>
        <v>4.2680786837709457</v>
      </c>
      <c r="M459" s="991"/>
      <c r="N459" s="989">
        <f t="shared" ref="N459:N468" si="34">L459*4.345</f>
        <v>18.544801880984757</v>
      </c>
      <c r="O459" s="991"/>
      <c r="P459" s="1009">
        <f>N459*12</f>
        <v>222.53762257181708</v>
      </c>
      <c r="Q459" s="990"/>
    </row>
    <row r="460" spans="2:17" x14ac:dyDescent="0.25">
      <c r="B460" s="263"/>
      <c r="C460" s="264"/>
      <c r="D460" s="300" t="s">
        <v>722</v>
      </c>
      <c r="E460" s="264" t="str">
        <f>'Inventário Físico'!B145</f>
        <v xml:space="preserve">Cadeira </v>
      </c>
      <c r="F460" s="264"/>
      <c r="G460" s="264"/>
      <c r="H460" s="264"/>
      <c r="I460" s="264"/>
      <c r="J460" s="264"/>
      <c r="K460" s="264"/>
      <c r="L460" s="989">
        <f>'Inventário Físico'!M145</f>
        <v>4.4090374720239955</v>
      </c>
      <c r="M460" s="991"/>
      <c r="N460" s="989">
        <f t="shared" si="34"/>
        <v>19.157267815944259</v>
      </c>
      <c r="O460" s="991"/>
      <c r="P460" s="1009">
        <f t="shared" ref="P460:P468" si="35">N460*12</f>
        <v>229.88721379133111</v>
      </c>
      <c r="Q460" s="990"/>
    </row>
    <row r="461" spans="2:17" x14ac:dyDescent="0.25">
      <c r="B461" s="263"/>
      <c r="C461" s="264"/>
      <c r="D461" s="300" t="s">
        <v>723</v>
      </c>
      <c r="E461" s="264" t="str">
        <f>'Inventário Físico'!B146</f>
        <v xml:space="preserve">Computador </v>
      </c>
      <c r="F461" s="264"/>
      <c r="G461" s="264"/>
      <c r="H461" s="264"/>
      <c r="I461" s="264"/>
      <c r="J461" s="264"/>
      <c r="K461" s="264"/>
      <c r="L461" s="989">
        <f>'Inventário Físico'!M146</f>
        <v>15.096360194772444</v>
      </c>
      <c r="M461" s="991"/>
      <c r="N461" s="989">
        <f t="shared" si="34"/>
        <v>65.593685046286268</v>
      </c>
      <c r="O461" s="991"/>
      <c r="P461" s="1009">
        <f t="shared" si="35"/>
        <v>787.12422055543516</v>
      </c>
      <c r="Q461" s="990"/>
    </row>
    <row r="462" spans="2:17" x14ac:dyDescent="0.25">
      <c r="B462" s="263"/>
      <c r="C462" s="264"/>
      <c r="D462" s="300" t="s">
        <v>724</v>
      </c>
      <c r="E462" s="264" t="str">
        <f>'Inventário Físico'!B147</f>
        <v xml:space="preserve">Impressora </v>
      </c>
      <c r="F462" s="264"/>
      <c r="G462" s="264"/>
      <c r="H462" s="264"/>
      <c r="I462" s="264"/>
      <c r="J462" s="264"/>
      <c r="K462" s="264"/>
      <c r="L462" s="989">
        <f>'Inventário Físico'!M147</f>
        <v>2.0909462266195398</v>
      </c>
      <c r="M462" s="991"/>
      <c r="N462" s="989">
        <f t="shared" si="34"/>
        <v>9.0851613546618992</v>
      </c>
      <c r="O462" s="991"/>
      <c r="P462" s="1009">
        <f t="shared" si="35"/>
        <v>109.02193625594279</v>
      </c>
      <c r="Q462" s="990"/>
    </row>
    <row r="463" spans="2:17" x14ac:dyDescent="0.25">
      <c r="B463" s="263"/>
      <c r="C463" s="264"/>
      <c r="D463" s="300" t="s">
        <v>725</v>
      </c>
      <c r="E463" s="264" t="str">
        <f>'Inventário Físico'!B148</f>
        <v xml:space="preserve">Armário </v>
      </c>
      <c r="F463" s="264"/>
      <c r="G463" s="264"/>
      <c r="H463" s="264"/>
      <c r="I463" s="264"/>
      <c r="J463" s="264"/>
      <c r="K463" s="264"/>
      <c r="L463" s="989">
        <f>'Inventário Físico'!M148</f>
        <v>3.3552027217511875</v>
      </c>
      <c r="M463" s="991"/>
      <c r="N463" s="989">
        <f t="shared" si="34"/>
        <v>14.578355826008909</v>
      </c>
      <c r="O463" s="991"/>
      <c r="P463" s="1009">
        <f t="shared" si="35"/>
        <v>174.94026991210691</v>
      </c>
      <c r="Q463" s="990"/>
    </row>
    <row r="464" spans="2:17" x14ac:dyDescent="0.25">
      <c r="B464" s="263"/>
      <c r="C464" s="264"/>
      <c r="D464" s="300" t="s">
        <v>726</v>
      </c>
      <c r="E464" s="264" t="str">
        <f>'Inventário Físico'!B149</f>
        <v xml:space="preserve">Ar condicionado </v>
      </c>
      <c r="F464" s="264"/>
      <c r="G464" s="264"/>
      <c r="H464" s="264"/>
      <c r="I464" s="264"/>
      <c r="J464" s="264"/>
      <c r="K464" s="264"/>
      <c r="L464" s="989">
        <f>'Inventário Físico'!M149</f>
        <v>4.6026975868239015</v>
      </c>
      <c r="M464" s="991"/>
      <c r="N464" s="989">
        <f t="shared" si="34"/>
        <v>19.998721014749851</v>
      </c>
      <c r="O464" s="991"/>
      <c r="P464" s="1009">
        <f t="shared" si="35"/>
        <v>239.98465217699822</v>
      </c>
      <c r="Q464" s="990"/>
    </row>
    <row r="465" spans="2:17" x14ac:dyDescent="0.25">
      <c r="B465" s="263"/>
      <c r="C465" s="264"/>
      <c r="D465" s="300" t="s">
        <v>727</v>
      </c>
      <c r="E465" s="264" t="str">
        <f>'Inventário Físico'!B150</f>
        <v>Lâmpada instalações</v>
      </c>
      <c r="F465" s="264"/>
      <c r="G465" s="264"/>
      <c r="H465" s="264"/>
      <c r="I465" s="264"/>
      <c r="J465" s="264"/>
      <c r="K465" s="264"/>
      <c r="L465" s="989">
        <f>'Inventário Físico'!M150</f>
        <v>8.131500165890275E-2</v>
      </c>
      <c r="M465" s="991"/>
      <c r="N465" s="989">
        <f t="shared" si="34"/>
        <v>0.35331368220793241</v>
      </c>
      <c r="O465" s="991"/>
      <c r="P465" s="1009">
        <f t="shared" si="35"/>
        <v>4.2397641864951892</v>
      </c>
      <c r="Q465" s="990"/>
    </row>
    <row r="466" spans="2:17" x14ac:dyDescent="0.25">
      <c r="B466" s="263"/>
      <c r="C466" s="264"/>
      <c r="D466" s="300" t="s">
        <v>728</v>
      </c>
      <c r="E466" s="264" t="str">
        <f>'Inventário Físico'!B151</f>
        <v>Equipamento 1</v>
      </c>
      <c r="F466" s="264"/>
      <c r="G466" s="264"/>
      <c r="H466" s="264"/>
      <c r="I466" s="264"/>
      <c r="J466" s="264"/>
      <c r="K466" s="264"/>
      <c r="L466" s="989">
        <f>'Inventário Físico'!M151</f>
        <v>0</v>
      </c>
      <c r="M466" s="991"/>
      <c r="N466" s="989">
        <f t="shared" si="34"/>
        <v>0</v>
      </c>
      <c r="O466" s="991"/>
      <c r="P466" s="1009">
        <f t="shared" si="35"/>
        <v>0</v>
      </c>
      <c r="Q466" s="990"/>
    </row>
    <row r="467" spans="2:17" x14ac:dyDescent="0.25">
      <c r="B467" s="263"/>
      <c r="C467" s="264"/>
      <c r="D467" s="300" t="s">
        <v>729</v>
      </c>
      <c r="E467" s="264" t="str">
        <f>'Inventário Físico'!B152</f>
        <v>Equipamento 2</v>
      </c>
      <c r="F467" s="264"/>
      <c r="G467" s="264"/>
      <c r="H467" s="264"/>
      <c r="I467" s="264"/>
      <c r="J467" s="264"/>
      <c r="K467" s="264"/>
      <c r="L467" s="989">
        <f>'Inventário Físico'!M152</f>
        <v>0</v>
      </c>
      <c r="M467" s="991"/>
      <c r="N467" s="989">
        <f t="shared" si="34"/>
        <v>0</v>
      </c>
      <c r="O467" s="991"/>
      <c r="P467" s="1009">
        <f t="shared" si="35"/>
        <v>0</v>
      </c>
      <c r="Q467" s="990"/>
    </row>
    <row r="468" spans="2:17" x14ac:dyDescent="0.25">
      <c r="B468" s="263"/>
      <c r="C468" s="264"/>
      <c r="D468" s="301">
        <v>2116</v>
      </c>
      <c r="E468" s="264" t="str">
        <f>'Inventário Físico'!B153</f>
        <v>Equipamento 3</v>
      </c>
      <c r="F468" s="264"/>
      <c r="G468" s="264"/>
      <c r="H468" s="264"/>
      <c r="I468" s="264"/>
      <c r="J468" s="264"/>
      <c r="K468" s="264"/>
      <c r="L468" s="989">
        <f>'Inventário Físico'!M153</f>
        <v>0</v>
      </c>
      <c r="M468" s="991"/>
      <c r="N468" s="989">
        <f t="shared" si="34"/>
        <v>0</v>
      </c>
      <c r="O468" s="991"/>
      <c r="P468" s="1009">
        <f t="shared" si="35"/>
        <v>0</v>
      </c>
      <c r="Q468" s="990"/>
    </row>
    <row r="469" spans="2:17" x14ac:dyDescent="0.25">
      <c r="B469" s="263"/>
      <c r="C469" s="264"/>
      <c r="D469" s="302"/>
      <c r="E469" s="271" t="str">
        <f>'Inventário Físico'!B154</f>
        <v>CANTINA</v>
      </c>
      <c r="F469" s="264"/>
      <c r="G469" s="264"/>
      <c r="H469" s="264"/>
      <c r="I469" s="264"/>
      <c r="J469" s="264"/>
      <c r="K469" s="264"/>
      <c r="L469" s="338"/>
      <c r="M469" s="339"/>
      <c r="N469" s="989"/>
      <c r="O469" s="991"/>
      <c r="P469" s="1009"/>
      <c r="Q469" s="990"/>
    </row>
    <row r="470" spans="2:17" x14ac:dyDescent="0.25">
      <c r="B470" s="263"/>
      <c r="C470" s="264"/>
      <c r="D470" s="301">
        <v>2117</v>
      </c>
      <c r="E470" s="264" t="str">
        <f>'Inventário Físico'!B155</f>
        <v xml:space="preserve">Geladeira </v>
      </c>
      <c r="F470" s="264"/>
      <c r="G470" s="264"/>
      <c r="H470" s="264"/>
      <c r="I470" s="264"/>
      <c r="J470" s="264"/>
      <c r="K470" s="264"/>
      <c r="L470" s="989">
        <f>'Inventário Físico'!M155</f>
        <v>8.8218722012009305</v>
      </c>
      <c r="M470" s="991"/>
      <c r="N470" s="989">
        <f t="shared" ref="N470:N479" si="36">L470*4.345</f>
        <v>38.331034714218042</v>
      </c>
      <c r="O470" s="991"/>
      <c r="P470" s="1009">
        <f t="shared" ref="P470:P479" si="37">N470*12</f>
        <v>459.97241657061647</v>
      </c>
      <c r="Q470" s="990"/>
    </row>
    <row r="471" spans="2:17" x14ac:dyDescent="0.25">
      <c r="B471" s="263"/>
      <c r="C471" s="264"/>
      <c r="D471" s="301">
        <v>2118</v>
      </c>
      <c r="E471" s="264" t="str">
        <f>'Inventário Físico'!B156</f>
        <v xml:space="preserve">Fogão </v>
      </c>
      <c r="F471" s="264"/>
      <c r="G471" s="264"/>
      <c r="H471" s="264"/>
      <c r="I471" s="264"/>
      <c r="J471" s="264"/>
      <c r="K471" s="264"/>
      <c r="L471" s="989">
        <f>'Inventário Físico'!M156</f>
        <v>0.97416906232679812</v>
      </c>
      <c r="M471" s="991"/>
      <c r="N471" s="989">
        <f t="shared" si="36"/>
        <v>4.2327645758099379</v>
      </c>
      <c r="O471" s="991"/>
      <c r="P471" s="1009">
        <f t="shared" si="37"/>
        <v>50.793174909719255</v>
      </c>
      <c r="Q471" s="990"/>
    </row>
    <row r="472" spans="2:17" x14ac:dyDescent="0.25">
      <c r="B472" s="263"/>
      <c r="C472" s="264"/>
      <c r="D472" s="301">
        <v>2119</v>
      </c>
      <c r="E472" s="264" t="str">
        <f>'Inventário Físico'!B157</f>
        <v xml:space="preserve">Filtro de água </v>
      </c>
      <c r="F472" s="264"/>
      <c r="G472" s="264"/>
      <c r="H472" s="264"/>
      <c r="I472" s="264"/>
      <c r="J472" s="264"/>
      <c r="K472" s="264"/>
      <c r="L472" s="989">
        <f>'Inventário Físico'!M157</f>
        <v>0.6995775071965693</v>
      </c>
      <c r="M472" s="991"/>
      <c r="N472" s="989">
        <f t="shared" si="36"/>
        <v>3.0396642687690933</v>
      </c>
      <c r="O472" s="991"/>
      <c r="P472" s="1009">
        <f t="shared" si="37"/>
        <v>36.475971225229117</v>
      </c>
      <c r="Q472" s="990"/>
    </row>
    <row r="473" spans="2:17" x14ac:dyDescent="0.25">
      <c r="B473" s="263"/>
      <c r="C473" s="264"/>
      <c r="D473" s="301">
        <v>2120</v>
      </c>
      <c r="E473" s="264" t="str">
        <f>'Inventário Físico'!B158</f>
        <v xml:space="preserve">Armário </v>
      </c>
      <c r="F473" s="264"/>
      <c r="G473" s="264"/>
      <c r="H473" s="264"/>
      <c r="I473" s="264"/>
      <c r="J473" s="264"/>
      <c r="K473" s="264"/>
      <c r="L473" s="989">
        <f>'Inventário Físico'!M158</f>
        <v>2.6841621774009496</v>
      </c>
      <c r="M473" s="991"/>
      <c r="N473" s="989">
        <f t="shared" si="36"/>
        <v>11.662684660807125</v>
      </c>
      <c r="O473" s="991"/>
      <c r="P473" s="1009">
        <f t="shared" si="37"/>
        <v>139.95221592968551</v>
      </c>
      <c r="Q473" s="990"/>
    </row>
    <row r="474" spans="2:17" x14ac:dyDescent="0.25">
      <c r="B474" s="263"/>
      <c r="C474" s="264"/>
      <c r="D474" s="301">
        <v>2121</v>
      </c>
      <c r="E474" s="264" t="str">
        <f>'Inventário Físico'!B159</f>
        <v>Mesa</v>
      </c>
      <c r="F474" s="264"/>
      <c r="G474" s="264"/>
      <c r="H474" s="264"/>
      <c r="I474" s="264"/>
      <c r="J474" s="264"/>
      <c r="K474" s="264"/>
      <c r="L474" s="989">
        <f>'Inventário Físico'!M159</f>
        <v>3.837531092440198</v>
      </c>
      <c r="M474" s="991"/>
      <c r="N474" s="989">
        <f t="shared" si="36"/>
        <v>16.67407259665266</v>
      </c>
      <c r="O474" s="991"/>
      <c r="P474" s="1009">
        <f t="shared" si="37"/>
        <v>200.08887115983191</v>
      </c>
      <c r="Q474" s="990"/>
    </row>
    <row r="475" spans="2:17" x14ac:dyDescent="0.25">
      <c r="B475" s="263"/>
      <c r="C475" s="264"/>
      <c r="D475" s="301">
        <v>2122</v>
      </c>
      <c r="E475" s="264" t="str">
        <f>'Inventário Físico'!B160</f>
        <v>Banco</v>
      </c>
      <c r="F475" s="264"/>
      <c r="G475" s="264"/>
      <c r="H475" s="264"/>
      <c r="I475" s="264"/>
      <c r="J475" s="264"/>
      <c r="K475" s="264"/>
      <c r="L475" s="989">
        <f>'Inventário Físico'!M160</f>
        <v>4.0273939500871645</v>
      </c>
      <c r="M475" s="991"/>
      <c r="N475" s="989">
        <f t="shared" si="36"/>
        <v>17.499026713128728</v>
      </c>
      <c r="O475" s="991"/>
      <c r="P475" s="1009">
        <f t="shared" si="37"/>
        <v>209.98832055754474</v>
      </c>
      <c r="Q475" s="990"/>
    </row>
    <row r="476" spans="2:17" x14ac:dyDescent="0.25">
      <c r="B476" s="263"/>
      <c r="C476" s="264"/>
      <c r="D476" s="301">
        <v>2123</v>
      </c>
      <c r="E476" s="264" t="str">
        <f>'Inventário Físico'!B161</f>
        <v xml:space="preserve">Lâmpada instalações </v>
      </c>
      <c r="F476" s="264"/>
      <c r="G476" s="264"/>
      <c r="H476" s="264"/>
      <c r="I476" s="264"/>
      <c r="J476" s="264"/>
      <c r="K476" s="264"/>
      <c r="L476" s="989">
        <f>'Inventário Físico'!M161</f>
        <v>8.131500165890275E-2</v>
      </c>
      <c r="M476" s="991"/>
      <c r="N476" s="989">
        <f t="shared" si="36"/>
        <v>0.35331368220793241</v>
      </c>
      <c r="O476" s="991"/>
      <c r="P476" s="1009">
        <f t="shared" si="37"/>
        <v>4.2397641864951892</v>
      </c>
      <c r="Q476" s="990"/>
    </row>
    <row r="477" spans="2:17" x14ac:dyDescent="0.25">
      <c r="B477" s="263"/>
      <c r="C477" s="264"/>
      <c r="D477" s="301">
        <v>2124</v>
      </c>
      <c r="E477" s="264" t="str">
        <f>'Inventário Físico'!B162</f>
        <v>Equipamento 1</v>
      </c>
      <c r="F477" s="264"/>
      <c r="G477" s="264"/>
      <c r="H477" s="264"/>
      <c r="I477" s="264"/>
      <c r="J477" s="264"/>
      <c r="K477" s="264"/>
      <c r="L477" s="989">
        <f>'Inventário Físico'!M162</f>
        <v>0</v>
      </c>
      <c r="M477" s="991"/>
      <c r="N477" s="989">
        <f t="shared" si="36"/>
        <v>0</v>
      </c>
      <c r="O477" s="991"/>
      <c r="P477" s="1009">
        <f t="shared" si="37"/>
        <v>0</v>
      </c>
      <c r="Q477" s="990"/>
    </row>
    <row r="478" spans="2:17" x14ac:dyDescent="0.25">
      <c r="B478" s="263"/>
      <c r="C478" s="264"/>
      <c r="D478" s="301">
        <v>2125</v>
      </c>
      <c r="E478" s="264" t="str">
        <f>'Inventário Físico'!B163</f>
        <v>Equipamento 2</v>
      </c>
      <c r="F478" s="264"/>
      <c r="G478" s="264"/>
      <c r="H478" s="264"/>
      <c r="I478" s="264"/>
      <c r="J478" s="264"/>
      <c r="K478" s="264"/>
      <c r="L478" s="989">
        <f>'Inventário Físico'!M163</f>
        <v>0</v>
      </c>
      <c r="M478" s="991"/>
      <c r="N478" s="989">
        <f t="shared" si="36"/>
        <v>0</v>
      </c>
      <c r="O478" s="991"/>
      <c r="P478" s="1009">
        <f t="shared" si="37"/>
        <v>0</v>
      </c>
      <c r="Q478" s="990"/>
    </row>
    <row r="479" spans="2:17" x14ac:dyDescent="0.25">
      <c r="B479" s="263"/>
      <c r="C479" s="264"/>
      <c r="D479" s="301">
        <v>2126</v>
      </c>
      <c r="E479" s="264" t="str">
        <f>'Inventário Físico'!B164</f>
        <v>Equipamento 3</v>
      </c>
      <c r="F479" s="264"/>
      <c r="G479" s="264"/>
      <c r="H479" s="264"/>
      <c r="I479" s="264"/>
      <c r="J479" s="264"/>
      <c r="K479" s="264"/>
      <c r="L479" s="989">
        <f>'Inventário Físico'!M164</f>
        <v>0</v>
      </c>
      <c r="M479" s="991"/>
      <c r="N479" s="989">
        <f t="shared" si="36"/>
        <v>0</v>
      </c>
      <c r="O479" s="991"/>
      <c r="P479" s="1009">
        <f t="shared" si="37"/>
        <v>0</v>
      </c>
      <c r="Q479" s="990"/>
    </row>
    <row r="480" spans="2:17" x14ac:dyDescent="0.25">
      <c r="B480" s="263"/>
      <c r="C480" s="264"/>
      <c r="D480" s="302"/>
      <c r="E480" s="271" t="str">
        <f>'Inventário Físico'!B165</f>
        <v>LIMPEZA</v>
      </c>
      <c r="F480" s="264"/>
      <c r="G480" s="264"/>
      <c r="H480" s="264"/>
      <c r="I480" s="264"/>
      <c r="J480" s="264"/>
      <c r="K480" s="264"/>
      <c r="L480" s="989"/>
      <c r="M480" s="991"/>
      <c r="N480" s="989"/>
      <c r="O480" s="991"/>
      <c r="P480" s="1009"/>
      <c r="Q480" s="990"/>
    </row>
    <row r="481" spans="2:17" x14ac:dyDescent="0.25">
      <c r="B481" s="263"/>
      <c r="C481" s="264"/>
      <c r="D481" s="301">
        <v>2127</v>
      </c>
      <c r="E481" s="264" t="str">
        <f>'Inventário Físico'!B166</f>
        <v>Lavador de botas</v>
      </c>
      <c r="F481" s="264"/>
      <c r="G481" s="264"/>
      <c r="H481" s="264"/>
      <c r="I481" s="264"/>
      <c r="J481" s="264"/>
      <c r="K481" s="264"/>
      <c r="L481" s="989">
        <f>'Inventário Físico'!M166</f>
        <v>12.974192076006512</v>
      </c>
      <c r="M481" s="991"/>
      <c r="N481" s="989">
        <f t="shared" ref="N481:N486" si="38">L481*4.345</f>
        <v>56.372864570248289</v>
      </c>
      <c r="O481" s="991"/>
      <c r="P481" s="1009">
        <f t="shared" ref="P481:P486" si="39">N481*12</f>
        <v>676.4743748429795</v>
      </c>
      <c r="Q481" s="990"/>
    </row>
    <row r="482" spans="2:17" x14ac:dyDescent="0.25">
      <c r="B482" s="263"/>
      <c r="C482" s="264"/>
      <c r="D482" s="301">
        <v>2128</v>
      </c>
      <c r="E482" s="264" t="str">
        <f>'Inventário Físico'!B167</f>
        <v>Máquina de Lavar</v>
      </c>
      <c r="F482" s="264"/>
      <c r="G482" s="264"/>
      <c r="H482" s="264"/>
      <c r="I482" s="264"/>
      <c r="J482" s="264"/>
      <c r="K482" s="264"/>
      <c r="L482" s="989">
        <f>'Inventário Físico'!M167</f>
        <v>2.3013487934119508</v>
      </c>
      <c r="M482" s="991"/>
      <c r="N482" s="989">
        <f t="shared" si="38"/>
        <v>9.9993605073749254</v>
      </c>
      <c r="O482" s="991"/>
      <c r="P482" s="1009">
        <f t="shared" si="39"/>
        <v>119.99232608849911</v>
      </c>
      <c r="Q482" s="990"/>
    </row>
    <row r="483" spans="2:17" x14ac:dyDescent="0.25">
      <c r="B483" s="263"/>
      <c r="C483" s="264"/>
      <c r="D483" s="301">
        <v>2129</v>
      </c>
      <c r="E483" s="264" t="str">
        <f>'Inventário Físico'!B168</f>
        <v xml:space="preserve">Tanquinho </v>
      </c>
      <c r="F483" s="264"/>
      <c r="G483" s="264"/>
      <c r="H483" s="264"/>
      <c r="I483" s="264"/>
      <c r="J483" s="264"/>
      <c r="K483" s="264"/>
      <c r="L483" s="989">
        <f>'Inventário Físico'!M168</f>
        <v>0.35145724537760659</v>
      </c>
      <c r="M483" s="991"/>
      <c r="N483" s="989">
        <f t="shared" si="38"/>
        <v>1.5270817311657006</v>
      </c>
      <c r="O483" s="991"/>
      <c r="P483" s="1009">
        <f t="shared" si="39"/>
        <v>18.324980773988408</v>
      </c>
      <c r="Q483" s="990"/>
    </row>
    <row r="484" spans="2:17" x14ac:dyDescent="0.25">
      <c r="B484" s="263"/>
      <c r="C484" s="264"/>
      <c r="D484" s="301">
        <v>2130</v>
      </c>
      <c r="E484" s="264" t="str">
        <f>'Inventário Físico'!B169</f>
        <v xml:space="preserve">Vassouras </v>
      </c>
      <c r="F484" s="264"/>
      <c r="G484" s="264"/>
      <c r="H484" s="264"/>
      <c r="I484" s="264"/>
      <c r="J484" s="264"/>
      <c r="K484" s="264"/>
      <c r="L484" s="989">
        <f>'Inventário Físico'!M169</f>
        <v>9.4277456758254736</v>
      </c>
      <c r="M484" s="991"/>
      <c r="N484" s="989">
        <f t="shared" si="38"/>
        <v>40.963554961461682</v>
      </c>
      <c r="O484" s="991"/>
      <c r="P484" s="1009">
        <f t="shared" si="39"/>
        <v>491.56265953754018</v>
      </c>
      <c r="Q484" s="990"/>
    </row>
    <row r="485" spans="2:17" x14ac:dyDescent="0.25">
      <c r="B485" s="263"/>
      <c r="C485" s="264"/>
      <c r="D485" s="301">
        <v>2131</v>
      </c>
      <c r="E485" s="264" t="str">
        <f>'Inventário Físico'!B170</f>
        <v xml:space="preserve">Rodos </v>
      </c>
      <c r="F485" s="264"/>
      <c r="G485" s="264"/>
      <c r="H485" s="264"/>
      <c r="I485" s="264"/>
      <c r="J485" s="264"/>
      <c r="K485" s="264"/>
      <c r="L485" s="989">
        <f>'Inventário Físico'!M170</f>
        <v>4.982461658250692</v>
      </c>
      <c r="M485" s="991"/>
      <c r="N485" s="989">
        <f t="shared" si="38"/>
        <v>21.648795905099256</v>
      </c>
      <c r="O485" s="991"/>
      <c r="P485" s="1009">
        <f t="shared" si="39"/>
        <v>259.78555086119104</v>
      </c>
      <c r="Q485" s="990"/>
    </row>
    <row r="486" spans="2:17" x14ac:dyDescent="0.25">
      <c r="B486" s="263"/>
      <c r="C486" s="264"/>
      <c r="D486" s="301">
        <v>2132</v>
      </c>
      <c r="E486" s="264" t="str">
        <f>'Inventário Físico'!B171</f>
        <v xml:space="preserve">Pás </v>
      </c>
      <c r="F486" s="264"/>
      <c r="G486" s="264"/>
      <c r="H486" s="264"/>
      <c r="I486" s="264"/>
      <c r="J486" s="264"/>
      <c r="K486" s="264"/>
      <c r="L486" s="989">
        <f>'Inventário Físico'!M171</f>
        <v>10.919991024664911</v>
      </c>
      <c r="M486" s="991"/>
      <c r="N486" s="989">
        <f t="shared" si="38"/>
        <v>47.447361002169039</v>
      </c>
      <c r="O486" s="991"/>
      <c r="P486" s="1009">
        <f t="shared" si="39"/>
        <v>569.3683320260285</v>
      </c>
      <c r="Q486" s="990"/>
    </row>
    <row r="487" spans="2:17" x14ac:dyDescent="0.25">
      <c r="B487" s="263"/>
      <c r="C487" s="264"/>
      <c r="D487" s="302"/>
      <c r="E487" s="271" t="str">
        <f>'Inventário Físico'!B173</f>
        <v>VEÍCULOS</v>
      </c>
      <c r="F487" s="264"/>
      <c r="G487" s="264"/>
      <c r="H487" s="264"/>
      <c r="I487" s="264"/>
      <c r="J487" s="264"/>
      <c r="K487" s="264"/>
      <c r="L487" s="989"/>
      <c r="M487" s="991"/>
      <c r="N487" s="989"/>
      <c r="O487" s="991"/>
      <c r="P487" s="1009"/>
      <c r="Q487" s="990"/>
    </row>
    <row r="488" spans="2:17" ht="49.5" customHeight="1" x14ac:dyDescent="0.25">
      <c r="B488" s="263"/>
      <c r="C488" s="264"/>
      <c r="D488" s="301">
        <v>2133</v>
      </c>
      <c r="E488" s="264" t="str">
        <f>'Inventário Físico'!B174</f>
        <v xml:space="preserve">Caminhão </v>
      </c>
      <c r="F488" s="264"/>
      <c r="G488" s="264"/>
      <c r="H488" s="264"/>
      <c r="I488" s="264"/>
      <c r="J488" s="264"/>
      <c r="K488" s="264"/>
      <c r="L488" s="989">
        <f>'Inventário Físico'!M174</f>
        <v>324.59356882720374</v>
      </c>
      <c r="M488" s="991"/>
      <c r="N488" s="989">
        <f t="shared" ref="N488:N493" si="40">L488*4.345</f>
        <v>1410.3590565542002</v>
      </c>
      <c r="O488" s="991"/>
      <c r="P488" s="1009">
        <f t="shared" ref="P488:P493" si="41">N488*12</f>
        <v>16924.308678650403</v>
      </c>
      <c r="Q488" s="990"/>
    </row>
    <row r="489" spans="2:17" x14ac:dyDescent="0.25">
      <c r="B489" s="263"/>
      <c r="C489" s="264"/>
      <c r="D489" s="301">
        <v>2134</v>
      </c>
      <c r="E489" s="264" t="str">
        <f>'Inventário Físico'!B175</f>
        <v xml:space="preserve">Carro </v>
      </c>
      <c r="F489" s="264"/>
      <c r="G489" s="264"/>
      <c r="H489" s="264"/>
      <c r="I489" s="264"/>
      <c r="J489" s="264"/>
      <c r="K489" s="264"/>
      <c r="L489" s="989">
        <f>'Inventário Físico'!M175</f>
        <v>37.268352930120884</v>
      </c>
      <c r="M489" s="991"/>
      <c r="N489" s="989">
        <f t="shared" si="40"/>
        <v>161.93099348137522</v>
      </c>
      <c r="O489" s="991"/>
      <c r="P489" s="1009">
        <f t="shared" si="41"/>
        <v>1943.1719217765026</v>
      </c>
      <c r="Q489" s="990"/>
    </row>
    <row r="490" spans="2:17" x14ac:dyDescent="0.25">
      <c r="B490" s="263"/>
      <c r="C490" s="264"/>
      <c r="D490" s="301">
        <v>2135</v>
      </c>
      <c r="E490" s="264" t="str">
        <f>'Inventário Físico'!B176</f>
        <v xml:space="preserve">Pickup </v>
      </c>
      <c r="F490" s="264"/>
      <c r="G490" s="264"/>
      <c r="H490" s="264"/>
      <c r="I490" s="264"/>
      <c r="J490" s="264"/>
      <c r="K490" s="264"/>
      <c r="L490" s="989">
        <f>'Inventário Físico'!M176</f>
        <v>69.075369801065918</v>
      </c>
      <c r="M490" s="991"/>
      <c r="N490" s="989">
        <f t="shared" si="40"/>
        <v>300.1324817856314</v>
      </c>
      <c r="O490" s="991"/>
      <c r="P490" s="1009">
        <f t="shared" si="41"/>
        <v>3601.5897814275768</v>
      </c>
      <c r="Q490" s="990"/>
    </row>
    <row r="491" spans="2:17" x14ac:dyDescent="0.25">
      <c r="B491" s="263"/>
      <c r="C491" s="264"/>
      <c r="D491" s="301">
        <v>2136</v>
      </c>
      <c r="E491" s="264" t="str">
        <f>'Inventário Físico'!B177</f>
        <v>Strada</v>
      </c>
      <c r="F491" s="264"/>
      <c r="G491" s="264"/>
      <c r="H491" s="264"/>
      <c r="I491" s="264"/>
      <c r="J491" s="264"/>
      <c r="K491" s="264"/>
      <c r="L491" s="989">
        <f>'Inventário Físico'!M177</f>
        <v>26.420854996557541</v>
      </c>
      <c r="M491" s="991"/>
      <c r="N491" s="989">
        <f t="shared" si="40"/>
        <v>114.79861496004251</v>
      </c>
      <c r="O491" s="991"/>
      <c r="P491" s="1009">
        <f t="shared" si="41"/>
        <v>1377.5833795205101</v>
      </c>
      <c r="Q491" s="990"/>
    </row>
    <row r="492" spans="2:17" x14ac:dyDescent="0.25">
      <c r="B492" s="263"/>
      <c r="C492" s="264"/>
      <c r="D492" s="301">
        <v>2137</v>
      </c>
      <c r="E492" s="264" t="str">
        <f>'Inventário Físico'!B178</f>
        <v>Veículo 2</v>
      </c>
      <c r="F492" s="264"/>
      <c r="G492" s="264"/>
      <c r="H492" s="264"/>
      <c r="I492" s="264"/>
      <c r="J492" s="264"/>
      <c r="K492" s="264"/>
      <c r="L492" s="989">
        <f>'Inventário Físico'!M178</f>
        <v>0</v>
      </c>
      <c r="M492" s="991"/>
      <c r="N492" s="989">
        <f t="shared" si="40"/>
        <v>0</v>
      </c>
      <c r="O492" s="991"/>
      <c r="P492" s="1009">
        <f t="shared" si="41"/>
        <v>0</v>
      </c>
      <c r="Q492" s="990"/>
    </row>
    <row r="493" spans="2:17" x14ac:dyDescent="0.25">
      <c r="B493" s="263"/>
      <c r="C493" s="264"/>
      <c r="D493" s="301">
        <v>2138</v>
      </c>
      <c r="E493" s="264" t="str">
        <f>'Inventário Físico'!B179</f>
        <v>Veículo 3</v>
      </c>
      <c r="F493" s="264"/>
      <c r="G493" s="264"/>
      <c r="H493" s="264"/>
      <c r="I493" s="264"/>
      <c r="J493" s="264"/>
      <c r="K493" s="264"/>
      <c r="L493" s="989">
        <f>'Inventário Físico'!M179</f>
        <v>0</v>
      </c>
      <c r="M493" s="991"/>
      <c r="N493" s="989">
        <f t="shared" si="40"/>
        <v>0</v>
      </c>
      <c r="O493" s="991"/>
      <c r="P493" s="1009">
        <f t="shared" si="41"/>
        <v>0</v>
      </c>
      <c r="Q493" s="990"/>
    </row>
    <row r="494" spans="2:17" x14ac:dyDescent="0.25">
      <c r="B494" s="1032" t="s">
        <v>560</v>
      </c>
      <c r="C494" s="1033"/>
      <c r="D494" s="1033"/>
      <c r="E494" s="1033"/>
      <c r="F494" s="1033"/>
      <c r="G494" s="1033"/>
      <c r="H494" s="1033"/>
      <c r="I494" s="1033"/>
      <c r="J494" s="1033"/>
      <c r="K494" s="1084"/>
      <c r="L494" s="1012">
        <f>SUM(L459:M468,L470:M479,L481:M486,L488:M493)</f>
        <v>553.34500190821768</v>
      </c>
      <c r="M494" s="1013"/>
      <c r="N494" s="1012">
        <f>SUM(N459:O468,N470:O479,N481:O486,N488:O493)</f>
        <v>2404.2840332912056</v>
      </c>
      <c r="O494" s="1013"/>
      <c r="P494" s="1012">
        <f>SUM(P459:Q468,P470:Q479,P481:Q486,P488:Q493)</f>
        <v>28851.408399494467</v>
      </c>
      <c r="Q494" s="1014"/>
    </row>
    <row r="495" spans="2:17" x14ac:dyDescent="0.25">
      <c r="B495" s="186"/>
      <c r="C495" s="187"/>
      <c r="D495" s="187"/>
      <c r="E495" s="187"/>
      <c r="F495" s="187"/>
      <c r="G495" s="187"/>
      <c r="H495" s="187"/>
      <c r="I495" s="187"/>
      <c r="J495" s="187"/>
      <c r="K495" s="187"/>
      <c r="L495" s="340"/>
      <c r="M495" s="341"/>
      <c r="N495" s="340"/>
      <c r="O495" s="341"/>
      <c r="P495" s="346"/>
      <c r="Q495" s="345"/>
    </row>
    <row r="496" spans="2:17" x14ac:dyDescent="0.25">
      <c r="B496" s="201"/>
      <c r="C496" s="202" t="s">
        <v>541</v>
      </c>
      <c r="D496" s="200"/>
      <c r="E496" s="200"/>
      <c r="F496" s="200"/>
      <c r="G496" s="200"/>
      <c r="H496" s="200"/>
      <c r="I496" s="200"/>
      <c r="J496" s="200"/>
      <c r="K496" s="200"/>
      <c r="L496" s="981"/>
      <c r="M496" s="982"/>
      <c r="N496" s="981"/>
      <c r="O496" s="982"/>
      <c r="P496" s="1094"/>
      <c r="Q496" s="983"/>
    </row>
    <row r="497" spans="1:17" x14ac:dyDescent="0.25">
      <c r="B497" s="263"/>
      <c r="C497" s="264"/>
      <c r="D497" s="264" t="s">
        <v>251</v>
      </c>
      <c r="E497" s="264" t="str">
        <f>'Inventário Físico'!B24</f>
        <v>Fêmeas para reprodução</v>
      </c>
      <c r="F497" s="264"/>
      <c r="G497" s="264"/>
      <c r="H497" s="264"/>
      <c r="I497" s="264"/>
      <c r="J497" s="264"/>
      <c r="K497" s="264"/>
      <c r="L497" s="989">
        <f>'Inventário Físico'!M24</f>
        <v>4456.6666666666706</v>
      </c>
      <c r="M497" s="991"/>
      <c r="N497" s="989">
        <f>L497*4.345</f>
        <v>19364.216666666682</v>
      </c>
      <c r="O497" s="991"/>
      <c r="P497" s="1009">
        <f>N497*12</f>
        <v>232370.60000000018</v>
      </c>
      <c r="Q497" s="990"/>
    </row>
    <row r="498" spans="1:17" x14ac:dyDescent="0.25">
      <c r="B498" s="263"/>
      <c r="C498" s="264"/>
      <c r="D498" s="264" t="s">
        <v>257</v>
      </c>
      <c r="E498" s="264" t="str">
        <f>'Inventário Físico'!B25</f>
        <v>Cachaços</v>
      </c>
      <c r="F498" s="264"/>
      <c r="G498" s="264"/>
      <c r="H498" s="264"/>
      <c r="I498" s="264"/>
      <c r="J498" s="264"/>
      <c r="K498" s="264"/>
      <c r="L498" s="989">
        <f>'Inventário Físico'!M25</f>
        <v>2549.5205555555553</v>
      </c>
      <c r="M498" s="991"/>
      <c r="N498" s="989">
        <f>L498*4.345</f>
        <v>11077.666813888887</v>
      </c>
      <c r="O498" s="991"/>
      <c r="P498" s="1009">
        <f>N498*12</f>
        <v>132932.00176666665</v>
      </c>
      <c r="Q498" s="990"/>
    </row>
    <row r="499" spans="1:17" x14ac:dyDescent="0.25">
      <c r="B499" s="1032" t="s">
        <v>561</v>
      </c>
      <c r="C499" s="1033"/>
      <c r="D499" s="1033"/>
      <c r="E499" s="1033"/>
      <c r="F499" s="1033"/>
      <c r="G499" s="1033"/>
      <c r="H499" s="1033"/>
      <c r="I499" s="1033"/>
      <c r="J499" s="1033"/>
      <c r="K499" s="1084"/>
      <c r="L499" s="1012">
        <f>SUM(L497:M498)</f>
        <v>7006.1872222222264</v>
      </c>
      <c r="M499" s="1013"/>
      <c r="N499" s="1012">
        <f>SUM(N497:O498)</f>
        <v>30441.883480555567</v>
      </c>
      <c r="O499" s="1013"/>
      <c r="P499" s="1012">
        <f>SUM(P497:Q498)</f>
        <v>365302.60176666686</v>
      </c>
      <c r="Q499" s="1014"/>
    </row>
    <row r="500" spans="1:17" s="329" customFormat="1" ht="34.5" x14ac:dyDescent="0.25">
      <c r="A500" s="325"/>
      <c r="B500" s="1098" t="s">
        <v>543</v>
      </c>
      <c r="C500" s="1099"/>
      <c r="D500" s="1099"/>
      <c r="E500" s="1099"/>
      <c r="F500" s="1099"/>
      <c r="G500" s="1099"/>
      <c r="H500" s="1099"/>
      <c r="I500" s="1099"/>
      <c r="J500" s="1099"/>
      <c r="K500" s="1099"/>
      <c r="L500" s="1095">
        <f>SUM(L499,L494,L457,L447,L436,L415,L352,L340,L331,L329,L327,L325,L319)</f>
        <v>33039.381205038815</v>
      </c>
      <c r="M500" s="1096"/>
      <c r="N500" s="1095">
        <f>SUM(N319,N325,N327,N329,N331,N340,N352,N415,N436,N447,N457,N494,N499)</f>
        <v>143556.11133589363</v>
      </c>
      <c r="O500" s="1096"/>
      <c r="P500" s="1095">
        <f>SUM(P319,P325,P327,P329,P331,P340,P352,P415,P436,P447,P457,P494,P499)</f>
        <v>1722673.3360307235</v>
      </c>
      <c r="Q500" s="1097"/>
    </row>
    <row r="501" spans="1:17" x14ac:dyDescent="0.25">
      <c r="B501" s="201"/>
      <c r="C501" s="200"/>
      <c r="D501" s="200"/>
      <c r="E501" s="200"/>
      <c r="F501" s="200"/>
      <c r="G501" s="200"/>
      <c r="H501" s="200"/>
      <c r="I501" s="200"/>
      <c r="J501" s="200"/>
      <c r="K501" s="200"/>
      <c r="L501" s="981"/>
      <c r="M501" s="982"/>
      <c r="N501" s="981"/>
      <c r="O501" s="982"/>
      <c r="P501" s="1094"/>
      <c r="Q501" s="983"/>
    </row>
    <row r="502" spans="1:17" x14ac:dyDescent="0.25">
      <c r="B502" s="257" t="s">
        <v>544</v>
      </c>
      <c r="C502" s="259"/>
      <c r="D502" s="259"/>
      <c r="E502" s="259"/>
      <c r="F502" s="259"/>
      <c r="G502" s="259"/>
      <c r="H502" s="259"/>
      <c r="I502" s="259"/>
      <c r="J502" s="259"/>
      <c r="K502" s="259"/>
      <c r="L502" s="1019"/>
      <c r="M502" s="1052"/>
      <c r="N502" s="1019"/>
      <c r="O502" s="1052"/>
      <c r="P502" s="1019"/>
      <c r="Q502" s="1020"/>
    </row>
    <row r="503" spans="1:17" x14ac:dyDescent="0.25">
      <c r="B503" s="198"/>
      <c r="C503" s="200"/>
      <c r="D503" s="200"/>
      <c r="E503" s="200"/>
      <c r="F503" s="200"/>
      <c r="G503" s="200"/>
      <c r="H503" s="200"/>
      <c r="I503" s="200"/>
      <c r="J503" s="200"/>
      <c r="K503" s="200"/>
      <c r="L503" s="340"/>
      <c r="M503" s="341"/>
      <c r="N503" s="340"/>
      <c r="O503" s="341"/>
      <c r="P503" s="346"/>
      <c r="Q503" s="345"/>
    </row>
    <row r="504" spans="1:17" x14ac:dyDescent="0.25">
      <c r="B504" s="201"/>
      <c r="C504" s="202" t="s">
        <v>546</v>
      </c>
      <c r="D504" s="200"/>
      <c r="E504" s="200"/>
      <c r="F504" s="200"/>
      <c r="G504" s="200"/>
      <c r="H504" s="200"/>
      <c r="I504" s="200"/>
      <c r="J504" s="200"/>
      <c r="K504" s="200"/>
      <c r="L504" s="981"/>
      <c r="M504" s="982"/>
      <c r="N504" s="981"/>
      <c r="O504" s="982"/>
      <c r="P504" s="1094"/>
      <c r="Q504" s="983"/>
    </row>
    <row r="505" spans="1:17" x14ac:dyDescent="0.25">
      <c r="B505" s="206"/>
      <c r="C505" s="203"/>
      <c r="D505" s="203" t="s">
        <v>132</v>
      </c>
      <c r="E505" s="203" t="str">
        <f>'Inventário Físico'!B5</f>
        <v xml:space="preserve">Setor de reposição </v>
      </c>
      <c r="F505" s="203"/>
      <c r="G505" s="203"/>
      <c r="H505" s="203"/>
      <c r="I505" s="203"/>
      <c r="J505" s="203"/>
      <c r="K505" s="203"/>
      <c r="L505" s="1000">
        <f>(('Inventário Físico'!F5*'Inventário Físico'!E5*'Inventário Físico'!D5)*'Caracterização do sistema'!$I$34)/(365/7)</f>
        <v>473.83597673109404</v>
      </c>
      <c r="M505" s="1015"/>
      <c r="N505" s="1000">
        <f>L505*4.345</f>
        <v>2058.8173188966034</v>
      </c>
      <c r="O505" s="1015"/>
      <c r="P505" s="1000">
        <f>N505*12</f>
        <v>24705.807826759243</v>
      </c>
      <c r="Q505" s="1001"/>
    </row>
    <row r="506" spans="1:17" x14ac:dyDescent="0.25">
      <c r="B506" s="1092" t="s">
        <v>547</v>
      </c>
      <c r="C506" s="1093"/>
      <c r="D506" s="1093"/>
      <c r="E506" s="1093"/>
      <c r="F506" s="1093"/>
      <c r="G506" s="1093"/>
      <c r="H506" s="1093"/>
      <c r="I506" s="1093"/>
      <c r="J506" s="1093"/>
      <c r="K506" s="1093"/>
      <c r="L506" s="992">
        <f>SUM(L505)</f>
        <v>473.83597673109404</v>
      </c>
      <c r="M506" s="993"/>
      <c r="N506" s="992">
        <f>SUM(N505)</f>
        <v>2058.8173188966034</v>
      </c>
      <c r="O506" s="993"/>
      <c r="P506" s="992">
        <f>SUM(P505)</f>
        <v>24705.807826759243</v>
      </c>
      <c r="Q506" s="994"/>
    </row>
    <row r="507" spans="1:17" x14ac:dyDescent="0.25">
      <c r="B507" s="210"/>
      <c r="C507" s="207"/>
      <c r="D507" s="207" t="s">
        <v>155</v>
      </c>
      <c r="E507" s="207" t="str">
        <f>'Inventário Físico'!B6</f>
        <v>Setor de reprodução (laboratório; central de inseminação)</v>
      </c>
      <c r="F507" s="207"/>
      <c r="G507" s="207"/>
      <c r="H507" s="207"/>
      <c r="I507" s="207"/>
      <c r="J507" s="207"/>
      <c r="K507" s="207"/>
      <c r="L507" s="984">
        <f>((('Inventário Físico'!D6*'Inventário Físico'!E6*'Inventário Físico'!F6)*'Caracterização do sistema'!$I$34)/(365/7))</f>
        <v>86.471048328767125</v>
      </c>
      <c r="M507" s="985"/>
      <c r="N507" s="984">
        <f>L507*4.345</f>
        <v>375.71670498849312</v>
      </c>
      <c r="O507" s="985"/>
      <c r="P507" s="984">
        <f>N507*12</f>
        <v>4508.6004598619174</v>
      </c>
      <c r="Q507" s="986"/>
    </row>
    <row r="508" spans="1:17" x14ac:dyDescent="0.25">
      <c r="B508" s="210"/>
      <c r="C508" s="207"/>
      <c r="D508" s="207" t="s">
        <v>160</v>
      </c>
      <c r="E508" s="207" t="str">
        <f>'Inventário Físico'!B7</f>
        <v>Instalações cachaços</v>
      </c>
      <c r="F508" s="207"/>
      <c r="G508" s="207"/>
      <c r="H508" s="207"/>
      <c r="I508" s="207"/>
      <c r="J508" s="207"/>
      <c r="K508" s="207"/>
      <c r="L508" s="984">
        <f>((('Inventário Físico'!D7*'Inventário Físico'!E7*'Inventário Físico'!F7)*'Caracterização do sistema'!$I$34)/(365/7))</f>
        <v>113.61276931506849</v>
      </c>
      <c r="M508" s="985"/>
      <c r="N508" s="984">
        <f>L508*4.345</f>
        <v>493.64748267397255</v>
      </c>
      <c r="O508" s="985"/>
      <c r="P508" s="984">
        <f>N508*12</f>
        <v>5923.7697920876708</v>
      </c>
      <c r="Q508" s="986"/>
    </row>
    <row r="509" spans="1:17" x14ac:dyDescent="0.25">
      <c r="B509" s="210"/>
      <c r="C509" s="207"/>
      <c r="D509" s="207" t="s">
        <v>161</v>
      </c>
      <c r="E509" s="207" t="str">
        <f>'Inventário Físico'!B8</f>
        <v>Instalações rufiões</v>
      </c>
      <c r="F509" s="207"/>
      <c r="G509" s="207"/>
      <c r="H509" s="207"/>
      <c r="I509" s="207"/>
      <c r="J509" s="207"/>
      <c r="K509" s="207"/>
      <c r="L509" s="984">
        <f>((('Inventário Físico'!D8*'Inventário Físico'!E8*'Inventário Físico'!F8)*'Caracterização do sistema'!$I$34)/(365/7))</f>
        <v>142.0159616438356</v>
      </c>
      <c r="M509" s="985"/>
      <c r="N509" s="984">
        <f>L509*4.345</f>
        <v>617.05935334246567</v>
      </c>
      <c r="O509" s="985"/>
      <c r="P509" s="984">
        <f>N509*12</f>
        <v>7404.7122401095876</v>
      </c>
      <c r="Q509" s="986"/>
    </row>
    <row r="510" spans="1:17" x14ac:dyDescent="0.25">
      <c r="B510" s="210"/>
      <c r="C510" s="207"/>
      <c r="D510" s="207" t="s">
        <v>167</v>
      </c>
      <c r="E510" s="207" t="str">
        <f>'Inventário Físico'!B9</f>
        <v xml:space="preserve">Setor de gestação </v>
      </c>
      <c r="F510" s="207"/>
      <c r="G510" s="207"/>
      <c r="H510" s="207"/>
      <c r="I510" s="207"/>
      <c r="J510" s="207"/>
      <c r="K510" s="207"/>
      <c r="L510" s="984">
        <f>((('Inventário Físico'!D9*'Inventário Físico'!E9*'Inventário Físico'!F9)*'Caracterização do sistema'!$I$34)/(365/7))</f>
        <v>3691.3123802040145</v>
      </c>
      <c r="M510" s="985"/>
      <c r="N510" s="984">
        <f>L510*4.345</f>
        <v>16038.752291986442</v>
      </c>
      <c r="O510" s="985"/>
      <c r="P510" s="984">
        <f>N510*12</f>
        <v>192465.02750383731</v>
      </c>
      <c r="Q510" s="986"/>
    </row>
    <row r="511" spans="1:17" x14ac:dyDescent="0.25">
      <c r="B511" s="210"/>
      <c r="C511" s="207"/>
      <c r="D511" s="207" t="s">
        <v>170</v>
      </c>
      <c r="E511" s="207" t="str">
        <f>'Inventário Físico'!B10</f>
        <v>Instalações gestação coletiva</v>
      </c>
      <c r="F511" s="207"/>
      <c r="G511" s="207"/>
      <c r="H511" s="207"/>
      <c r="I511" s="207"/>
      <c r="J511" s="207"/>
      <c r="K511" s="207"/>
      <c r="L511" s="984">
        <f>((('Inventário Físico'!D10*'Inventário Físico'!E10*'Inventário Físico'!F10)*'Caracterização do sistema'!$I$34)/(365/7))</f>
        <v>2314.0366027397263</v>
      </c>
      <c r="M511" s="985"/>
      <c r="N511" s="984">
        <f>L511*4.345</f>
        <v>10054.48903890411</v>
      </c>
      <c r="O511" s="985"/>
      <c r="P511" s="984">
        <f>N511*12</f>
        <v>120653.86846684932</v>
      </c>
      <c r="Q511" s="986"/>
    </row>
    <row r="512" spans="1:17" x14ac:dyDescent="0.25">
      <c r="B512" s="1036" t="s">
        <v>548</v>
      </c>
      <c r="C512" s="1037"/>
      <c r="D512" s="1037"/>
      <c r="E512" s="1037"/>
      <c r="F512" s="1037"/>
      <c r="G512" s="1037"/>
      <c r="H512" s="1037"/>
      <c r="I512" s="1037"/>
      <c r="J512" s="1037"/>
      <c r="K512" s="1037"/>
      <c r="L512" s="995">
        <f>SUM(L507:M511)</f>
        <v>6347.4487622314118</v>
      </c>
      <c r="M512" s="996"/>
      <c r="N512" s="995">
        <f>SUM(N507:O511)</f>
        <v>27579.664871895482</v>
      </c>
      <c r="O512" s="996"/>
      <c r="P512" s="995">
        <f>SUM(P507:Q511)</f>
        <v>330955.97846274578</v>
      </c>
      <c r="Q512" s="997"/>
    </row>
    <row r="513" spans="2:17" x14ac:dyDescent="0.25">
      <c r="B513" s="214"/>
      <c r="C513" s="211"/>
      <c r="D513" s="211" t="s">
        <v>171</v>
      </c>
      <c r="E513" s="211" t="str">
        <f>'Inventário Físico'!B11</f>
        <v>Setor de maternidade</v>
      </c>
      <c r="F513" s="211"/>
      <c r="G513" s="211"/>
      <c r="H513" s="211"/>
      <c r="I513" s="211"/>
      <c r="J513" s="211"/>
      <c r="K513" s="211"/>
      <c r="L513" s="1100">
        <f>((('Inventário Físico'!D11*'Inventário Físico'!E11*'Inventário Físico'!F11)*'Caracterização do sistema'!$I$34)/(365/7))</f>
        <v>2709.618833023786</v>
      </c>
      <c r="M513" s="1016"/>
      <c r="N513" s="1010">
        <f>L513*4.345</f>
        <v>11773.29382948835</v>
      </c>
      <c r="O513" s="1016"/>
      <c r="P513" s="1010">
        <f>N513*12</f>
        <v>141279.5259538602</v>
      </c>
      <c r="Q513" s="1011"/>
    </row>
    <row r="514" spans="2:17" x14ac:dyDescent="0.25">
      <c r="B514" s="1038" t="s">
        <v>533</v>
      </c>
      <c r="C514" s="1039"/>
      <c r="D514" s="1039"/>
      <c r="E514" s="1039"/>
      <c r="F514" s="1039"/>
      <c r="G514" s="1039"/>
      <c r="H514" s="1039"/>
      <c r="I514" s="1039"/>
      <c r="J514" s="1039"/>
      <c r="K514" s="1039"/>
      <c r="L514" s="998">
        <f>SUM(L513)</f>
        <v>2709.618833023786</v>
      </c>
      <c r="M514" s="999"/>
      <c r="N514" s="998">
        <f>SUM(N513)</f>
        <v>11773.29382948835</v>
      </c>
      <c r="O514" s="999"/>
      <c r="P514" s="998">
        <f>SUM(P513)</f>
        <v>141279.5259538602</v>
      </c>
      <c r="Q514" s="1027"/>
    </row>
    <row r="515" spans="2:17" x14ac:dyDescent="0.25">
      <c r="B515" s="215"/>
      <c r="C515" s="216"/>
      <c r="D515" s="216" t="s">
        <v>174</v>
      </c>
      <c r="E515" s="216" t="str">
        <f>'Inventário Físico'!B12</f>
        <v xml:space="preserve">Setor de creche </v>
      </c>
      <c r="F515" s="216"/>
      <c r="G515" s="216"/>
      <c r="H515" s="216"/>
      <c r="I515" s="216"/>
      <c r="J515" s="216"/>
      <c r="K515" s="216"/>
      <c r="L515" s="1007">
        <f>((('Inventário Físico'!D12*'Inventário Físico'!E12*'Inventário Físico'!F12)*'Caracterização do sistema'!I34)/(365/7))</f>
        <v>4110.058442612054</v>
      </c>
      <c r="M515" s="1018"/>
      <c r="N515" s="1007">
        <f>L515*4.345</f>
        <v>17858.203933149372</v>
      </c>
      <c r="O515" s="1018"/>
      <c r="P515" s="1007">
        <f>N515*12</f>
        <v>214298.44719779247</v>
      </c>
      <c r="Q515" s="1008"/>
    </row>
    <row r="516" spans="2:17" x14ac:dyDescent="0.25">
      <c r="B516" s="1040" t="s">
        <v>549</v>
      </c>
      <c r="C516" s="1041"/>
      <c r="D516" s="1041"/>
      <c r="E516" s="1041"/>
      <c r="F516" s="1041"/>
      <c r="G516" s="1041"/>
      <c r="H516" s="1041"/>
      <c r="I516" s="1041"/>
      <c r="J516" s="1041"/>
      <c r="K516" s="1041"/>
      <c r="L516" s="1024">
        <f>SUM(L515)</f>
        <v>4110.058442612054</v>
      </c>
      <c r="M516" s="1025"/>
      <c r="N516" s="1024">
        <f>SUM(N515)</f>
        <v>17858.203933149372</v>
      </c>
      <c r="O516" s="1025"/>
      <c r="P516" s="1024">
        <f>SUM(P515)</f>
        <v>214298.44719779247</v>
      </c>
      <c r="Q516" s="1026"/>
    </row>
    <row r="517" spans="2:17" x14ac:dyDescent="0.25">
      <c r="B517" s="219"/>
      <c r="C517" s="220"/>
      <c r="D517" s="220" t="s">
        <v>179</v>
      </c>
      <c r="E517" s="220" t="str">
        <f>'Inventário Físico'!B13</f>
        <v xml:space="preserve">Setor de Crescimento e Terminação </v>
      </c>
      <c r="F517" s="220"/>
      <c r="G517" s="220"/>
      <c r="H517" s="220"/>
      <c r="I517" s="220"/>
      <c r="J517" s="220"/>
      <c r="K517" s="220"/>
      <c r="L517" s="987">
        <f>((('Inventário Físico'!D13*'Inventário Físico'!E13*'Inventário Físico'!F13)*'Caracterização do sistema'!$I$34)/(365/7))</f>
        <v>25043.796341280449</v>
      </c>
      <c r="M517" s="1017"/>
      <c r="N517" s="987">
        <f>L517*4.345</f>
        <v>108815.29510286354</v>
      </c>
      <c r="O517" s="1017"/>
      <c r="P517" s="987">
        <f>N517*12</f>
        <v>1305783.5412343624</v>
      </c>
      <c r="Q517" s="988"/>
    </row>
    <row r="518" spans="2:17" x14ac:dyDescent="0.25">
      <c r="B518" s="1030" t="s">
        <v>550</v>
      </c>
      <c r="C518" s="1031"/>
      <c r="D518" s="1031"/>
      <c r="E518" s="1031"/>
      <c r="F518" s="1031"/>
      <c r="G518" s="1031"/>
      <c r="H518" s="1031"/>
      <c r="I518" s="1031"/>
      <c r="J518" s="1031"/>
      <c r="K518" s="1031"/>
      <c r="L518" s="1021">
        <f>SUM(L517)</f>
        <v>25043.796341280449</v>
      </c>
      <c r="M518" s="1022"/>
      <c r="N518" s="1021">
        <f>SUM(N517)</f>
        <v>108815.29510286354</v>
      </c>
      <c r="O518" s="1022"/>
      <c r="P518" s="1021">
        <f>SUM(P517)</f>
        <v>1305783.5412343624</v>
      </c>
      <c r="Q518" s="1023"/>
    </row>
    <row r="519" spans="2:17" x14ac:dyDescent="0.25">
      <c r="B519" s="263"/>
      <c r="C519" s="264"/>
      <c r="D519" s="264" t="s">
        <v>180</v>
      </c>
      <c r="E519" s="264" t="str">
        <f>'Inventário Físico'!B14</f>
        <v>Escritório</v>
      </c>
      <c r="F519" s="264"/>
      <c r="G519" s="264"/>
      <c r="H519" s="264"/>
      <c r="I519" s="264"/>
      <c r="J519" s="264"/>
      <c r="K519" s="264"/>
      <c r="L519" s="989">
        <f>((('Inventário Físico'!D14*'Inventário Físico'!E14*'Inventário Físico'!F14)*'Caracterização do sistema'!$I$34)/(365/7))</f>
        <v>80.348493150684931</v>
      </c>
      <c r="M519" s="991"/>
      <c r="N519" s="989">
        <f t="shared" ref="N519:N526" si="42">L519*4.345</f>
        <v>349.11420273972601</v>
      </c>
      <c r="O519" s="991"/>
      <c r="P519" s="989">
        <f>N519*12</f>
        <v>4189.3704328767126</v>
      </c>
      <c r="Q519" s="990"/>
    </row>
    <row r="520" spans="2:17" x14ac:dyDescent="0.25">
      <c r="B520" s="263"/>
      <c r="C520" s="264"/>
      <c r="D520" s="264" t="s">
        <v>428</v>
      </c>
      <c r="E520" s="264" t="str">
        <f>'Inventário Físico'!B15</f>
        <v xml:space="preserve">Banheiros </v>
      </c>
      <c r="F520" s="264"/>
      <c r="G520" s="264"/>
      <c r="H520" s="264"/>
      <c r="I520" s="264"/>
      <c r="J520" s="264"/>
      <c r="K520" s="264"/>
      <c r="L520" s="989">
        <f>((('Inventário Físico'!D15*'Inventário Físico'!E15*'Inventário Físico'!F15)*'Caracterização do sistema'!$I$34)/(365/7))</f>
        <v>160.69698630136986</v>
      </c>
      <c r="M520" s="991"/>
      <c r="N520" s="989">
        <f t="shared" si="42"/>
        <v>698.22840547945202</v>
      </c>
      <c r="O520" s="991"/>
      <c r="P520" s="989">
        <f t="shared" ref="P520:P526" si="43">N520*12</f>
        <v>8378.7408657534252</v>
      </c>
      <c r="Q520" s="990"/>
    </row>
    <row r="521" spans="2:17" x14ac:dyDescent="0.25">
      <c r="B521" s="263"/>
      <c r="C521" s="264"/>
      <c r="D521" s="264" t="s">
        <v>429</v>
      </c>
      <c r="E521" s="264" t="str">
        <f>'Inventário Físico'!B16</f>
        <v xml:space="preserve">Cantina </v>
      </c>
      <c r="F521" s="264"/>
      <c r="G521" s="264"/>
      <c r="H521" s="264"/>
      <c r="I521" s="264"/>
      <c r="J521" s="264"/>
      <c r="K521" s="264"/>
      <c r="L521" s="989">
        <f>((('Inventário Físico'!D16*'Inventário Físico'!E16*'Inventário Físico'!F16)*'Caracterização do sistema'!$I$34)/(365/7))</f>
        <v>24.104547945205478</v>
      </c>
      <c r="M521" s="991"/>
      <c r="N521" s="989">
        <f t="shared" si="42"/>
        <v>104.7342608219178</v>
      </c>
      <c r="O521" s="991"/>
      <c r="P521" s="989">
        <f t="shared" si="43"/>
        <v>1256.8111298630135</v>
      </c>
      <c r="Q521" s="990"/>
    </row>
    <row r="522" spans="2:17" x14ac:dyDescent="0.25">
      <c r="B522" s="263"/>
      <c r="C522" s="264"/>
      <c r="D522" s="264" t="s">
        <v>430</v>
      </c>
      <c r="E522" s="264" t="str">
        <f>'Inventário Físico'!B17</f>
        <v>Barracão</v>
      </c>
      <c r="F522" s="264"/>
      <c r="G522" s="264"/>
      <c r="H522" s="264"/>
      <c r="I522" s="264"/>
      <c r="J522" s="264"/>
      <c r="K522" s="264"/>
      <c r="L522" s="989">
        <f>((('Inventário Físico'!D17*'Inventário Físico'!E17*'Inventário Físico'!F17)*'Caracterização do sistema'!$I$34)/(365/7))</f>
        <v>321.39397260273972</v>
      </c>
      <c r="M522" s="991"/>
      <c r="N522" s="989">
        <f t="shared" si="42"/>
        <v>1396.456810958904</v>
      </c>
      <c r="O522" s="991"/>
      <c r="P522" s="989">
        <f t="shared" si="43"/>
        <v>16757.48173150685</v>
      </c>
      <c r="Q522" s="990"/>
    </row>
    <row r="523" spans="2:17" x14ac:dyDescent="0.25">
      <c r="B523" s="263"/>
      <c r="C523" s="264"/>
      <c r="D523" s="264" t="s">
        <v>431</v>
      </c>
      <c r="E523" s="264" t="str">
        <f>'Inventário Físico'!B18</f>
        <v xml:space="preserve">Casas de funcionários </v>
      </c>
      <c r="F523" s="264"/>
      <c r="G523" s="264"/>
      <c r="H523" s="264"/>
      <c r="I523" s="264"/>
      <c r="J523" s="264"/>
      <c r="K523" s="264"/>
      <c r="L523" s="989">
        <f>((('Inventário Físico'!D18*'Inventário Físico'!E18*'Inventário Físico'!F18)*'Caracterização do sistema'!$I$34)/(365/7))</f>
        <v>2089.3734246575341</v>
      </c>
      <c r="M523" s="991"/>
      <c r="N523" s="989">
        <f t="shared" si="42"/>
        <v>9078.3275301369849</v>
      </c>
      <c r="O523" s="991"/>
      <c r="P523" s="989">
        <f t="shared" si="43"/>
        <v>108939.93036164381</v>
      </c>
      <c r="Q523" s="990"/>
    </row>
    <row r="524" spans="2:17" x14ac:dyDescent="0.25">
      <c r="B524" s="263"/>
      <c r="C524" s="264"/>
      <c r="D524" s="264" t="s">
        <v>432</v>
      </c>
      <c r="E524" s="264" t="str">
        <f>'Inventário Físico'!B19</f>
        <v>Item 1</v>
      </c>
      <c r="F524" s="264"/>
      <c r="G524" s="264"/>
      <c r="H524" s="264"/>
      <c r="I524" s="264"/>
      <c r="J524" s="264"/>
      <c r="K524" s="264"/>
      <c r="L524" s="989">
        <f>((('Inventário Físico'!D19*'Inventário Físico'!E19*'Inventário Físico'!F19)*'Caracterização do sistema'!$I$34)/(365/7))</f>
        <v>0</v>
      </c>
      <c r="M524" s="991"/>
      <c r="N524" s="989">
        <f t="shared" si="42"/>
        <v>0</v>
      </c>
      <c r="O524" s="991"/>
      <c r="P524" s="989">
        <f t="shared" si="43"/>
        <v>0</v>
      </c>
      <c r="Q524" s="990"/>
    </row>
    <row r="525" spans="2:17" x14ac:dyDescent="0.25">
      <c r="B525" s="263"/>
      <c r="C525" s="264"/>
      <c r="D525" s="264" t="s">
        <v>433</v>
      </c>
      <c r="E525" s="264" t="str">
        <f>'Inventário Físico'!B20</f>
        <v>Item 2</v>
      </c>
      <c r="F525" s="264"/>
      <c r="G525" s="264"/>
      <c r="H525" s="264"/>
      <c r="I525" s="264"/>
      <c r="J525" s="264"/>
      <c r="K525" s="264"/>
      <c r="L525" s="989">
        <f>((('Inventário Físico'!D20*'Inventário Físico'!E20*'Inventário Físico'!F20)*'Caracterização do sistema'!$I$34)/(365/7))</f>
        <v>0</v>
      </c>
      <c r="M525" s="991"/>
      <c r="N525" s="989">
        <f t="shared" si="42"/>
        <v>0</v>
      </c>
      <c r="O525" s="991"/>
      <c r="P525" s="989">
        <f t="shared" si="43"/>
        <v>0</v>
      </c>
      <c r="Q525" s="990"/>
    </row>
    <row r="526" spans="2:17" x14ac:dyDescent="0.25">
      <c r="B526" s="263"/>
      <c r="C526" s="264"/>
      <c r="D526" s="264" t="s">
        <v>714</v>
      </c>
      <c r="E526" s="264" t="str">
        <f>'Inventário Físico'!B21</f>
        <v>Item 3</v>
      </c>
      <c r="F526" s="264"/>
      <c r="G526" s="264"/>
      <c r="H526" s="264"/>
      <c r="I526" s="264"/>
      <c r="J526" s="264"/>
      <c r="K526" s="264"/>
      <c r="L526" s="989">
        <f>((('Inventário Físico'!D21*'Inventário Físico'!E21*'Inventário Físico'!F21)*'Caracterização do sistema'!$I$34)/(365/7))</f>
        <v>0</v>
      </c>
      <c r="M526" s="991"/>
      <c r="N526" s="989">
        <f t="shared" si="42"/>
        <v>0</v>
      </c>
      <c r="O526" s="991"/>
      <c r="P526" s="989">
        <f t="shared" si="43"/>
        <v>0</v>
      </c>
      <c r="Q526" s="990"/>
    </row>
    <row r="527" spans="2:17" x14ac:dyDescent="0.25">
      <c r="B527" s="1032" t="s">
        <v>551</v>
      </c>
      <c r="C527" s="1033"/>
      <c r="D527" s="1033"/>
      <c r="E527" s="1033"/>
      <c r="F527" s="1033"/>
      <c r="G527" s="1033"/>
      <c r="H527" s="1033"/>
      <c r="I527" s="1033"/>
      <c r="J527" s="1033"/>
      <c r="K527" s="1084"/>
      <c r="L527" s="1012">
        <f>SUM(L519:M526)</f>
        <v>2675.917424657534</v>
      </c>
      <c r="M527" s="1013"/>
      <c r="N527" s="1012">
        <f>SUM(N519:O526)</f>
        <v>11626.861210136985</v>
      </c>
      <c r="O527" s="1013"/>
      <c r="P527" s="1012">
        <f>SUM(P519:Q526)</f>
        <v>139522.33452164382</v>
      </c>
      <c r="Q527" s="1014"/>
    </row>
    <row r="528" spans="2:17" x14ac:dyDescent="0.25">
      <c r="B528" s="186"/>
      <c r="C528" s="187"/>
      <c r="D528" s="187"/>
      <c r="E528" s="187"/>
      <c r="F528" s="187"/>
      <c r="G528" s="187"/>
      <c r="H528" s="187"/>
      <c r="I528" s="187"/>
      <c r="J528" s="187"/>
      <c r="K528" s="187"/>
      <c r="L528" s="340"/>
      <c r="M528" s="341"/>
      <c r="N528" s="340"/>
      <c r="O528" s="341"/>
      <c r="P528" s="340"/>
      <c r="Q528" s="345"/>
    </row>
    <row r="529" spans="2:17" x14ac:dyDescent="0.25">
      <c r="B529" s="201"/>
      <c r="C529" s="202" t="s">
        <v>434</v>
      </c>
      <c r="D529" s="200"/>
      <c r="E529" s="200"/>
      <c r="F529" s="200"/>
      <c r="G529" s="200"/>
      <c r="H529" s="200"/>
      <c r="I529" s="200"/>
      <c r="J529" s="200"/>
      <c r="K529" s="200"/>
      <c r="L529" s="981"/>
      <c r="M529" s="982"/>
      <c r="N529" s="981"/>
      <c r="O529" s="982"/>
      <c r="P529" s="981"/>
      <c r="Q529" s="983"/>
    </row>
    <row r="530" spans="2:17" x14ac:dyDescent="0.25">
      <c r="B530" s="206"/>
      <c r="C530" s="203"/>
      <c r="D530" s="203" t="s">
        <v>140</v>
      </c>
      <c r="E530" s="203" t="str">
        <f>'Inventário Físico'!B29</f>
        <v xml:space="preserve">Comedouros fêmeas reposição </v>
      </c>
      <c r="F530" s="203"/>
      <c r="G530" s="203"/>
      <c r="H530" s="203"/>
      <c r="I530" s="203"/>
      <c r="J530" s="203"/>
      <c r="K530" s="203"/>
      <c r="L530" s="1000">
        <f>((('Inventário Físico'!E29*'Inventário Físico'!F29)*'Caracterização do sistema'!$I$35)/(365/7))</f>
        <v>152.7917808219178</v>
      </c>
      <c r="M530" s="1015"/>
      <c r="N530" s="1000">
        <f t="shared" ref="N530:N538" si="44">L530*4.345</f>
        <v>663.88028767123274</v>
      </c>
      <c r="O530" s="1015"/>
      <c r="P530" s="1000">
        <f>N530*12</f>
        <v>7966.5634520547928</v>
      </c>
      <c r="Q530" s="1001"/>
    </row>
    <row r="531" spans="2:17" x14ac:dyDescent="0.25">
      <c r="B531" s="206"/>
      <c r="C531" s="203"/>
      <c r="D531" s="203" t="s">
        <v>142</v>
      </c>
      <c r="E531" s="203" t="str">
        <f>'Inventário Físico'!B30</f>
        <v xml:space="preserve">Bebedouros fêmeas reposição </v>
      </c>
      <c r="F531" s="203"/>
      <c r="G531" s="203"/>
      <c r="H531" s="203"/>
      <c r="I531" s="203"/>
      <c r="J531" s="203"/>
      <c r="K531" s="203"/>
      <c r="L531" s="1000">
        <f>((('Inventário Físico'!E30*'Inventário Físico'!F30)*'Caracterização do sistema'!$I$35)/(365/7))</f>
        <v>0.27784443610433479</v>
      </c>
      <c r="M531" s="1015"/>
      <c r="N531" s="1000">
        <f t="shared" si="44"/>
        <v>1.2072340748733346</v>
      </c>
      <c r="O531" s="1015"/>
      <c r="P531" s="1000">
        <f t="shared" ref="P531:P538" si="45">N531*12</f>
        <v>14.486808898480014</v>
      </c>
      <c r="Q531" s="1001"/>
    </row>
    <row r="532" spans="2:17" x14ac:dyDescent="0.25">
      <c r="B532" s="206"/>
      <c r="C532" s="203"/>
      <c r="D532" s="203" t="s">
        <v>195</v>
      </c>
      <c r="E532" s="203" t="str">
        <f>'Inventário Físico'!B31</f>
        <v>Conchas (reposição)</v>
      </c>
      <c r="F532" s="203"/>
      <c r="G532" s="203"/>
      <c r="H532" s="203"/>
      <c r="I532" s="203"/>
      <c r="J532" s="203"/>
      <c r="K532" s="203"/>
      <c r="L532" s="1000">
        <f>((('Inventário Físico'!E31*'Inventário Físico'!F31)*'Caracterização do sistema'!$I$35)/(365/7))</f>
        <v>0.23167123287671232</v>
      </c>
      <c r="M532" s="1015"/>
      <c r="N532" s="1000">
        <f t="shared" si="44"/>
        <v>1.0066115068493149</v>
      </c>
      <c r="O532" s="1015"/>
      <c r="P532" s="1000">
        <f t="shared" si="45"/>
        <v>12.079338082191779</v>
      </c>
      <c r="Q532" s="1001"/>
    </row>
    <row r="533" spans="2:17" x14ac:dyDescent="0.25">
      <c r="B533" s="206"/>
      <c r="C533" s="203"/>
      <c r="D533" s="203" t="s">
        <v>196</v>
      </c>
      <c r="E533" s="203" t="str">
        <f>'Inventário Físico'!B32</f>
        <v>Carrinho para alimentação</v>
      </c>
      <c r="F533" s="203"/>
      <c r="G533" s="203"/>
      <c r="H533" s="203"/>
      <c r="I533" s="203"/>
      <c r="J533" s="203"/>
      <c r="K533" s="203"/>
      <c r="L533" s="1000">
        <f>((('Inventário Físico'!E32*'Inventário Físico'!F32)*'Caracterização do sistema'!$I$35)/(365/7))</f>
        <v>0.7912876712328768</v>
      </c>
      <c r="M533" s="1015"/>
      <c r="N533" s="1000">
        <f t="shared" si="44"/>
        <v>3.4381449315068493</v>
      </c>
      <c r="O533" s="1015"/>
      <c r="P533" s="1000">
        <f t="shared" si="45"/>
        <v>41.25773917808219</v>
      </c>
      <c r="Q533" s="1001"/>
    </row>
    <row r="534" spans="2:17" x14ac:dyDescent="0.25">
      <c r="B534" s="206"/>
      <c r="C534" s="203"/>
      <c r="D534" s="203" t="s">
        <v>197</v>
      </c>
      <c r="E534" s="203" t="str">
        <f>'Inventário Físico'!B33</f>
        <v xml:space="preserve">Cortina </v>
      </c>
      <c r="F534" s="203"/>
      <c r="G534" s="203"/>
      <c r="H534" s="203"/>
      <c r="I534" s="203"/>
      <c r="J534" s="203"/>
      <c r="K534" s="203"/>
      <c r="L534" s="1000">
        <f>((('Inventário Físico'!E33*'Inventário Físico'!F33)*'Caracterização do sistema'!$I$35)/(365/7))</f>
        <v>5.7680052542690934</v>
      </c>
      <c r="M534" s="1015"/>
      <c r="N534" s="1000">
        <f t="shared" si="44"/>
        <v>25.061982829799209</v>
      </c>
      <c r="O534" s="1015"/>
      <c r="P534" s="1000">
        <f t="shared" si="45"/>
        <v>300.74379395759053</v>
      </c>
      <c r="Q534" s="1001"/>
    </row>
    <row r="535" spans="2:17" x14ac:dyDescent="0.25">
      <c r="B535" s="206"/>
      <c r="C535" s="203"/>
      <c r="D535" s="203" t="s">
        <v>203</v>
      </c>
      <c r="E535" s="203" t="str">
        <f>'Inventário Físico'!B34</f>
        <v>Lâmpada instalações</v>
      </c>
      <c r="F535" s="203"/>
      <c r="G535" s="203"/>
      <c r="H535" s="203"/>
      <c r="I535" s="203"/>
      <c r="J535" s="203"/>
      <c r="K535" s="203"/>
      <c r="L535" s="1000">
        <f>((('Inventário Físico'!E34*'Inventário Físico'!F34)*'Caracterização do sistema'!$I$35)/(365/7))</f>
        <v>8.1315068493150705E-2</v>
      </c>
      <c r="M535" s="1015"/>
      <c r="N535" s="1000">
        <f t="shared" si="44"/>
        <v>0.35331397260273978</v>
      </c>
      <c r="O535" s="1015"/>
      <c r="P535" s="1000">
        <f t="shared" si="45"/>
        <v>4.2397676712328778</v>
      </c>
      <c r="Q535" s="1001"/>
    </row>
    <row r="536" spans="2:17" x14ac:dyDescent="0.25">
      <c r="B536" s="206"/>
      <c r="C536" s="203"/>
      <c r="D536" s="203" t="s">
        <v>205</v>
      </c>
      <c r="E536" s="203" t="str">
        <f>'Inventário Físico'!B35</f>
        <v xml:space="preserve">Termômetro </v>
      </c>
      <c r="F536" s="203"/>
      <c r="G536" s="203"/>
      <c r="H536" s="203"/>
      <c r="I536" s="203"/>
      <c r="J536" s="203"/>
      <c r="K536" s="203"/>
      <c r="L536" s="1000">
        <f>((('Inventário Físico'!E35*'Inventário Físico'!F35)*'Caracterização do sistema'!$I$35)/(365/7))</f>
        <v>0.46614246575342466</v>
      </c>
      <c r="M536" s="1015"/>
      <c r="N536" s="1000">
        <f t="shared" si="44"/>
        <v>2.0253890136986299</v>
      </c>
      <c r="O536" s="1015"/>
      <c r="P536" s="1000">
        <f t="shared" si="45"/>
        <v>24.304668164383557</v>
      </c>
      <c r="Q536" s="1001"/>
    </row>
    <row r="537" spans="2:17" ht="31.5" customHeight="1" x14ac:dyDescent="0.25">
      <c r="B537" s="206"/>
      <c r="C537" s="203"/>
      <c r="D537" s="203" t="s">
        <v>206</v>
      </c>
      <c r="E537" s="203" t="str">
        <f>'Inventário Físico'!B36</f>
        <v>Mangueira</v>
      </c>
      <c r="F537" s="203"/>
      <c r="G537" s="203"/>
      <c r="H537" s="203"/>
      <c r="I537" s="203"/>
      <c r="J537" s="203"/>
      <c r="K537" s="203"/>
      <c r="L537" s="1000">
        <f>((('Inventário Físico'!E36*'Inventário Físico'!F36)*'Caracterização do sistema'!$I$35)/(365/7))</f>
        <v>0.19158904109589045</v>
      </c>
      <c r="M537" s="1015"/>
      <c r="N537" s="1000">
        <f t="shared" si="44"/>
        <v>0.83245438356164392</v>
      </c>
      <c r="O537" s="1015"/>
      <c r="P537" s="1000">
        <f t="shared" si="45"/>
        <v>9.9894526027397266</v>
      </c>
      <c r="Q537" s="1001"/>
    </row>
    <row r="538" spans="2:17" x14ac:dyDescent="0.25">
      <c r="B538" s="206"/>
      <c r="C538" s="203"/>
      <c r="D538" s="203" t="s">
        <v>207</v>
      </c>
      <c r="E538" s="203" t="str">
        <f>'Inventário Físico'!B37</f>
        <v>Equipamento 3</v>
      </c>
      <c r="F538" s="203"/>
      <c r="G538" s="203"/>
      <c r="H538" s="203"/>
      <c r="I538" s="203"/>
      <c r="J538" s="203"/>
      <c r="K538" s="203"/>
      <c r="L538" s="1000">
        <f>((('Inventário Físico'!E37*'Inventário Físico'!F37)*'Caracterização do sistema'!$I$35)/(365/7))</f>
        <v>0</v>
      </c>
      <c r="M538" s="1015"/>
      <c r="N538" s="1000">
        <f t="shared" si="44"/>
        <v>0</v>
      </c>
      <c r="O538" s="1015"/>
      <c r="P538" s="1000">
        <f t="shared" si="45"/>
        <v>0</v>
      </c>
      <c r="Q538" s="1001"/>
    </row>
    <row r="539" spans="2:17" x14ac:dyDescent="0.25">
      <c r="B539" s="1092" t="s">
        <v>552</v>
      </c>
      <c r="C539" s="1093"/>
      <c r="D539" s="1093"/>
      <c r="E539" s="1093"/>
      <c r="F539" s="1093"/>
      <c r="G539" s="1093"/>
      <c r="H539" s="1093"/>
      <c r="I539" s="1093"/>
      <c r="J539" s="1093"/>
      <c r="K539" s="1093"/>
      <c r="L539" s="992">
        <f>SUM(L530:M538)</f>
        <v>160.5996359917433</v>
      </c>
      <c r="M539" s="993"/>
      <c r="N539" s="992">
        <f>SUM(N530:O538)</f>
        <v>697.80541838412455</v>
      </c>
      <c r="O539" s="993"/>
      <c r="P539" s="992">
        <f>SUM(P530:Q538)</f>
        <v>8373.6650206094946</v>
      </c>
      <c r="Q539" s="994"/>
    </row>
    <row r="540" spans="2:17" x14ac:dyDescent="0.25">
      <c r="B540" s="267"/>
      <c r="C540" s="268"/>
      <c r="D540" s="268"/>
      <c r="E540" s="269" t="s">
        <v>553</v>
      </c>
      <c r="F540" s="268"/>
      <c r="G540" s="268"/>
      <c r="H540" s="268"/>
      <c r="I540" s="268"/>
      <c r="J540" s="268"/>
      <c r="K540" s="268"/>
      <c r="L540" s="984"/>
      <c r="M540" s="985"/>
      <c r="N540" s="984"/>
      <c r="O540" s="985"/>
      <c r="P540" s="984"/>
      <c r="Q540" s="986"/>
    </row>
    <row r="541" spans="2:17" x14ac:dyDescent="0.25">
      <c r="B541" s="210"/>
      <c r="C541" s="207"/>
      <c r="D541" s="207" t="s">
        <v>218</v>
      </c>
      <c r="E541" s="207" t="str">
        <f>'Inventário Físico'!B39</f>
        <v xml:space="preserve">Ar condicionado </v>
      </c>
      <c r="F541" s="207"/>
      <c r="G541" s="207"/>
      <c r="H541" s="207"/>
      <c r="I541" s="207"/>
      <c r="J541" s="207"/>
      <c r="K541" s="207"/>
      <c r="L541" s="984">
        <f>((('Inventário Físico'!E39*'Inventário Físico'!F39)*'Caracterização do sistema'!$I$35)/(365/7))</f>
        <v>2.3013506849315069</v>
      </c>
      <c r="M541" s="985"/>
      <c r="N541" s="984">
        <f t="shared" ref="N541:N557" si="46">L541*4.345</f>
        <v>9.9993687260273969</v>
      </c>
      <c r="O541" s="985"/>
      <c r="P541" s="984">
        <f>N541*12</f>
        <v>119.99242471232876</v>
      </c>
      <c r="Q541" s="986"/>
    </row>
    <row r="542" spans="2:17" x14ac:dyDescent="0.25">
      <c r="B542" s="210"/>
      <c r="C542" s="207"/>
      <c r="D542" s="207" t="s">
        <v>222</v>
      </c>
      <c r="E542" s="207" t="str">
        <f>'Inventário Físico'!B40</f>
        <v xml:space="preserve">Geladeira </v>
      </c>
      <c r="F542" s="207"/>
      <c r="G542" s="207"/>
      <c r="H542" s="207"/>
      <c r="I542" s="207"/>
      <c r="J542" s="207"/>
      <c r="K542" s="207"/>
      <c r="L542" s="984">
        <f>((('Inventário Físico'!E40*'Inventário Físico'!F40)*'Caracterização do sistema'!$I$35)/(365/7))</f>
        <v>4.4109397260273973</v>
      </c>
      <c r="M542" s="985"/>
      <c r="N542" s="984">
        <f t="shared" si="46"/>
        <v>19.165533109589038</v>
      </c>
      <c r="O542" s="985"/>
      <c r="P542" s="984">
        <f t="shared" ref="P542:P557" si="47">N542*12</f>
        <v>229.98639731506847</v>
      </c>
      <c r="Q542" s="986"/>
    </row>
    <row r="543" spans="2:17" x14ac:dyDescent="0.25">
      <c r="B543" s="210"/>
      <c r="C543" s="207"/>
      <c r="D543" s="207" t="s">
        <v>225</v>
      </c>
      <c r="E543" s="207" t="str">
        <f>'Inventário Físico'!B41</f>
        <v>Estufa</v>
      </c>
      <c r="F543" s="207"/>
      <c r="G543" s="207"/>
      <c r="H543" s="207"/>
      <c r="I543" s="207"/>
      <c r="J543" s="207"/>
      <c r="K543" s="207"/>
      <c r="L543" s="984">
        <f>((('Inventário Físico'!E41*'Inventário Físico'!F41)*'Caracterização do sistema'!$I$35)/(365/7))</f>
        <v>2.595293150684931</v>
      </c>
      <c r="M543" s="985"/>
      <c r="N543" s="984">
        <f t="shared" si="46"/>
        <v>11.276548739726024</v>
      </c>
      <c r="O543" s="985"/>
      <c r="P543" s="984">
        <f t="shared" si="47"/>
        <v>135.31858487671229</v>
      </c>
      <c r="Q543" s="986"/>
    </row>
    <row r="544" spans="2:17" x14ac:dyDescent="0.25">
      <c r="B544" s="210"/>
      <c r="C544" s="207"/>
      <c r="D544" s="207" t="s">
        <v>226</v>
      </c>
      <c r="E544" s="207" t="str">
        <f>'Inventário Físico'!B42</f>
        <v>Câmara de Neubauer</v>
      </c>
      <c r="F544" s="207"/>
      <c r="G544" s="207"/>
      <c r="H544" s="207"/>
      <c r="I544" s="207"/>
      <c r="J544" s="207"/>
      <c r="K544" s="207"/>
      <c r="L544" s="984">
        <f>((('Inventário Físico'!E42*'Inventário Físico'!F42)*'Caracterização do sistema'!$I$35)/(365/7))</f>
        <v>0.63939726027397248</v>
      </c>
      <c r="M544" s="985"/>
      <c r="N544" s="984">
        <f t="shared" si="46"/>
        <v>2.7781810958904103</v>
      </c>
      <c r="O544" s="985"/>
      <c r="P544" s="984">
        <f t="shared" si="47"/>
        <v>33.338173150684923</v>
      </c>
      <c r="Q544" s="986"/>
    </row>
    <row r="545" spans="2:17" x14ac:dyDescent="0.25">
      <c r="B545" s="210"/>
      <c r="C545" s="207"/>
      <c r="D545" s="207" t="s">
        <v>235</v>
      </c>
      <c r="E545" s="207" t="str">
        <f>'Inventário Físico'!B43</f>
        <v xml:space="preserve">Destilador </v>
      </c>
      <c r="F545" s="207"/>
      <c r="G545" s="207"/>
      <c r="H545" s="207"/>
      <c r="I545" s="207"/>
      <c r="J545" s="207"/>
      <c r="K545" s="207"/>
      <c r="L545" s="984">
        <f>((('Inventário Físico'!E43*'Inventário Físico'!F43)*'Caracterização do sistema'!$I$35)/(365/7))</f>
        <v>2.4001369863013697</v>
      </c>
      <c r="M545" s="985"/>
      <c r="N545" s="984">
        <f t="shared" si="46"/>
        <v>10.428595205479452</v>
      </c>
      <c r="O545" s="985"/>
      <c r="P545" s="984">
        <f t="shared" si="47"/>
        <v>125.14314246575341</v>
      </c>
      <c r="Q545" s="986"/>
    </row>
    <row r="546" spans="2:17" x14ac:dyDescent="0.25">
      <c r="B546" s="210"/>
      <c r="C546" s="207"/>
      <c r="D546" s="207" t="s">
        <v>242</v>
      </c>
      <c r="E546" s="207" t="str">
        <f>'Inventário Físico'!B44</f>
        <v xml:space="preserve">Microscópio </v>
      </c>
      <c r="F546" s="207"/>
      <c r="G546" s="207"/>
      <c r="H546" s="207"/>
      <c r="I546" s="207"/>
      <c r="J546" s="207"/>
      <c r="K546" s="207"/>
      <c r="L546" s="984">
        <f>((('Inventário Físico'!E44*'Inventário Físico'!F44)*'Caracterização do sistema'!$I$35)/(365/7))</f>
        <v>3.9890219178082189</v>
      </c>
      <c r="M546" s="985"/>
      <c r="N546" s="984">
        <f t="shared" si="46"/>
        <v>17.332300232876712</v>
      </c>
      <c r="O546" s="985"/>
      <c r="P546" s="984">
        <f t="shared" si="47"/>
        <v>207.98760279452054</v>
      </c>
      <c r="Q546" s="986"/>
    </row>
    <row r="547" spans="2:17" x14ac:dyDescent="0.25">
      <c r="B547" s="210"/>
      <c r="C547" s="207"/>
      <c r="D547" s="207" t="s">
        <v>448</v>
      </c>
      <c r="E547" s="207" t="str">
        <f>'Inventário Físico'!B45</f>
        <v xml:space="preserve">Banho maria </v>
      </c>
      <c r="F547" s="207"/>
      <c r="G547" s="207"/>
      <c r="H547" s="207"/>
      <c r="I547" s="207"/>
      <c r="J547" s="207"/>
      <c r="K547" s="207"/>
      <c r="L547" s="984">
        <f>((('Inventário Físico'!E45*'Inventário Físico'!F45)*'Caracterização do sistema'!$I$35)/(365/7))</f>
        <v>1.8947561643835615</v>
      </c>
      <c r="M547" s="985"/>
      <c r="N547" s="984">
        <f t="shared" si="46"/>
        <v>8.2327155342465748</v>
      </c>
      <c r="O547" s="985"/>
      <c r="P547" s="984">
        <f t="shared" si="47"/>
        <v>98.792586410958904</v>
      </c>
      <c r="Q547" s="986"/>
    </row>
    <row r="548" spans="2:17" x14ac:dyDescent="0.25">
      <c r="B548" s="210"/>
      <c r="C548" s="207"/>
      <c r="D548" s="207" t="s">
        <v>449</v>
      </c>
      <c r="E548" s="207" t="str">
        <f>'Inventário Físico'!B46</f>
        <v xml:space="preserve">Manequim </v>
      </c>
      <c r="F548" s="207"/>
      <c r="G548" s="207"/>
      <c r="H548" s="207"/>
      <c r="I548" s="207"/>
      <c r="J548" s="207"/>
      <c r="K548" s="207"/>
      <c r="L548" s="984">
        <f>((('Inventário Físico'!E46*'Inventário Físico'!F46)*'Caracterização do sistema'!$I$35)/(365/7))</f>
        <v>6.1369863013698627</v>
      </c>
      <c r="M548" s="985"/>
      <c r="N548" s="984">
        <f t="shared" si="46"/>
        <v>26.665205479452052</v>
      </c>
      <c r="O548" s="985"/>
      <c r="P548" s="984">
        <f t="shared" si="47"/>
        <v>319.98246575342461</v>
      </c>
      <c r="Q548" s="986"/>
    </row>
    <row r="549" spans="2:17" x14ac:dyDescent="0.25">
      <c r="B549" s="210"/>
      <c r="C549" s="207"/>
      <c r="D549" s="207" t="s">
        <v>450</v>
      </c>
      <c r="E549" s="207" t="str">
        <f>'Inventário Físico'!B47</f>
        <v>Tapetes</v>
      </c>
      <c r="F549" s="207"/>
      <c r="G549" s="207"/>
      <c r="H549" s="207"/>
      <c r="I549" s="207"/>
      <c r="J549" s="207"/>
      <c r="K549" s="207"/>
      <c r="L549" s="984">
        <f>((('Inventário Físico'!E47*'Inventário Físico'!F47)*'Caracterização do sistema'!$I$35)/(365/7))</f>
        <v>0</v>
      </c>
      <c r="M549" s="985"/>
      <c r="N549" s="984">
        <f t="shared" si="46"/>
        <v>0</v>
      </c>
      <c r="O549" s="985"/>
      <c r="P549" s="984">
        <f t="shared" si="47"/>
        <v>0</v>
      </c>
      <c r="Q549" s="986"/>
    </row>
    <row r="550" spans="2:17" x14ac:dyDescent="0.25">
      <c r="B550" s="210"/>
      <c r="C550" s="207"/>
      <c r="D550" s="207" t="s">
        <v>451</v>
      </c>
      <c r="E550" s="207" t="str">
        <f>'Inventário Físico'!B48</f>
        <v xml:space="preserve">Caneca térmica de coleta </v>
      </c>
      <c r="F550" s="207"/>
      <c r="G550" s="207"/>
      <c r="H550" s="207"/>
      <c r="I550" s="207"/>
      <c r="J550" s="207"/>
      <c r="K550" s="207"/>
      <c r="L550" s="984">
        <f>((('Inventário Físico'!E48*'Inventário Físico'!F48)*'Caracterização do sistema'!$I$35)/(365/7))</f>
        <v>1.5728712328767125</v>
      </c>
      <c r="M550" s="985"/>
      <c r="N550" s="984">
        <f t="shared" si="46"/>
        <v>6.8341255068493156</v>
      </c>
      <c r="O550" s="985"/>
      <c r="P550" s="984">
        <f t="shared" si="47"/>
        <v>82.009506082191791</v>
      </c>
      <c r="Q550" s="986"/>
    </row>
    <row r="551" spans="2:17" x14ac:dyDescent="0.25">
      <c r="B551" s="210"/>
      <c r="C551" s="207"/>
      <c r="D551" s="207" t="s">
        <v>452</v>
      </c>
      <c r="E551" s="207" t="str">
        <f>'Inventário Físico'!B49</f>
        <v xml:space="preserve">Mangueira </v>
      </c>
      <c r="F551" s="207"/>
      <c r="G551" s="207"/>
      <c r="H551" s="207"/>
      <c r="I551" s="207"/>
      <c r="J551" s="207"/>
      <c r="K551" s="207"/>
      <c r="L551" s="984">
        <f>((('Inventário Físico'!E49*'Inventário Físico'!F49)*'Caracterização do sistema'!$I$35)/(365/7))</f>
        <v>0.19158904109589045</v>
      </c>
      <c r="M551" s="985"/>
      <c r="N551" s="984">
        <f t="shared" si="46"/>
        <v>0.83245438356164392</v>
      </c>
      <c r="O551" s="985"/>
      <c r="P551" s="984">
        <f t="shared" si="47"/>
        <v>9.9894526027397266</v>
      </c>
      <c r="Q551" s="986"/>
    </row>
    <row r="552" spans="2:17" x14ac:dyDescent="0.25">
      <c r="B552" s="210"/>
      <c r="C552" s="207"/>
      <c r="D552" s="207" t="s">
        <v>453</v>
      </c>
      <c r="E552" s="207" t="str">
        <f>'Inventário Físico'!B50</f>
        <v xml:space="preserve">Mesa </v>
      </c>
      <c r="F552" s="207"/>
      <c r="G552" s="207"/>
      <c r="H552" s="207"/>
      <c r="I552" s="207"/>
      <c r="J552" s="207"/>
      <c r="K552" s="207"/>
      <c r="L552" s="984">
        <f>((('Inventário Físico'!E50*'Inventário Físico'!F50)*'Caracterização do sistema'!$I$35)/(365/7))</f>
        <v>0.85361643835616441</v>
      </c>
      <c r="M552" s="985"/>
      <c r="N552" s="984">
        <f t="shared" si="46"/>
        <v>3.7089634246575343</v>
      </c>
      <c r="O552" s="985"/>
      <c r="P552" s="984">
        <f t="shared" si="47"/>
        <v>44.507561095890409</v>
      </c>
      <c r="Q552" s="986"/>
    </row>
    <row r="553" spans="2:17" x14ac:dyDescent="0.25">
      <c r="B553" s="210"/>
      <c r="C553" s="207"/>
      <c r="D553" s="207" t="s">
        <v>454</v>
      </c>
      <c r="E553" s="207" t="str">
        <f>'Inventário Físico'!B51</f>
        <v xml:space="preserve">Cadeira </v>
      </c>
      <c r="F553" s="207"/>
      <c r="G553" s="207"/>
      <c r="H553" s="207"/>
      <c r="I553" s="207"/>
      <c r="J553" s="207"/>
      <c r="K553" s="207"/>
      <c r="L553" s="984">
        <f>((('Inventário Físico'!E51*'Inventário Físico'!F51)*'Caracterização do sistema'!$I$35)/(365/7))</f>
        <v>0.44090410958904108</v>
      </c>
      <c r="M553" s="985"/>
      <c r="N553" s="984">
        <f t="shared" si="46"/>
        <v>1.9157283561643834</v>
      </c>
      <c r="O553" s="985"/>
      <c r="P553" s="984">
        <f t="shared" si="47"/>
        <v>22.988740273972603</v>
      </c>
      <c r="Q553" s="986"/>
    </row>
    <row r="554" spans="2:17" x14ac:dyDescent="0.25">
      <c r="B554" s="210"/>
      <c r="C554" s="207"/>
      <c r="D554" s="207" t="s">
        <v>455</v>
      </c>
      <c r="E554" s="207" t="str">
        <f>'Inventário Físico'!B52</f>
        <v xml:space="preserve">Lâmpada instalações </v>
      </c>
      <c r="F554" s="207"/>
      <c r="G554" s="207"/>
      <c r="H554" s="207"/>
      <c r="I554" s="207"/>
      <c r="J554" s="207"/>
      <c r="K554" s="207"/>
      <c r="L554" s="984">
        <f>((('Inventário Físico'!E52*'Inventário Físico'!F52)*'Caracterização do sistema'!$I$35)/(365/7))</f>
        <v>3.2526027397260272E-2</v>
      </c>
      <c r="M554" s="985"/>
      <c r="N554" s="984">
        <f t="shared" si="46"/>
        <v>0.14132558904109588</v>
      </c>
      <c r="O554" s="985"/>
      <c r="P554" s="984">
        <f t="shared" si="47"/>
        <v>1.6959070684931505</v>
      </c>
      <c r="Q554" s="986"/>
    </row>
    <row r="555" spans="2:17" x14ac:dyDescent="0.25">
      <c r="B555" s="210"/>
      <c r="C555" s="207"/>
      <c r="D555" s="207" t="s">
        <v>456</v>
      </c>
      <c r="E555" s="207" t="str">
        <f>'Inventário Físico'!B53</f>
        <v>Equipamento 1</v>
      </c>
      <c r="F555" s="207"/>
      <c r="G555" s="207"/>
      <c r="H555" s="207"/>
      <c r="I555" s="207"/>
      <c r="J555" s="207"/>
      <c r="K555" s="207"/>
      <c r="L555" s="984">
        <f>((('Inventário Físico'!E53*'Inventário Físico'!F53)*'Caracterização do sistema'!$I$35)/(365/7))</f>
        <v>0</v>
      </c>
      <c r="M555" s="985"/>
      <c r="N555" s="984">
        <f t="shared" si="46"/>
        <v>0</v>
      </c>
      <c r="O555" s="985"/>
      <c r="P555" s="984">
        <f t="shared" si="47"/>
        <v>0</v>
      </c>
      <c r="Q555" s="986"/>
    </row>
    <row r="556" spans="2:17" x14ac:dyDescent="0.25">
      <c r="B556" s="210"/>
      <c r="C556" s="207"/>
      <c r="D556" s="207" t="s">
        <v>457</v>
      </c>
      <c r="E556" s="207" t="str">
        <f>'Inventário Físico'!B54</f>
        <v>Equipamento 2</v>
      </c>
      <c r="F556" s="207"/>
      <c r="G556" s="207"/>
      <c r="H556" s="207"/>
      <c r="I556" s="207"/>
      <c r="J556" s="207"/>
      <c r="K556" s="207"/>
      <c r="L556" s="984">
        <f>((('Inventário Físico'!E54*'Inventário Físico'!F54)*'Caracterização do sistema'!$I$35)/(365/7))</f>
        <v>0</v>
      </c>
      <c r="M556" s="985"/>
      <c r="N556" s="984">
        <f t="shared" si="46"/>
        <v>0</v>
      </c>
      <c r="O556" s="985"/>
      <c r="P556" s="984">
        <f t="shared" si="47"/>
        <v>0</v>
      </c>
      <c r="Q556" s="986"/>
    </row>
    <row r="557" spans="2:17" x14ac:dyDescent="0.25">
      <c r="B557" s="210"/>
      <c r="C557" s="207"/>
      <c r="D557" s="207" t="s">
        <v>458</v>
      </c>
      <c r="E557" s="207" t="str">
        <f>'Inventário Físico'!B55</f>
        <v>Equipamento 3</v>
      </c>
      <c r="F557" s="207"/>
      <c r="G557" s="207"/>
      <c r="H557" s="207"/>
      <c r="I557" s="207"/>
      <c r="J557" s="207"/>
      <c r="K557" s="207"/>
      <c r="L557" s="984">
        <f>((('Inventário Físico'!E55*'Inventário Físico'!F55)*'Caracterização do sistema'!$I$35)/(365/7))</f>
        <v>0</v>
      </c>
      <c r="M557" s="985"/>
      <c r="N557" s="984">
        <f t="shared" si="46"/>
        <v>0</v>
      </c>
      <c r="O557" s="985"/>
      <c r="P557" s="984">
        <f t="shared" si="47"/>
        <v>0</v>
      </c>
      <c r="Q557" s="986"/>
    </row>
    <row r="558" spans="2:17" x14ac:dyDescent="0.25">
      <c r="B558" s="210"/>
      <c r="C558" s="207"/>
      <c r="D558" s="207"/>
      <c r="E558" s="269" t="s">
        <v>28</v>
      </c>
      <c r="F558" s="207"/>
      <c r="G558" s="207"/>
      <c r="H558" s="207"/>
      <c r="I558" s="207"/>
      <c r="J558" s="207"/>
      <c r="K558" s="207"/>
      <c r="L558" s="984"/>
      <c r="M558" s="985"/>
      <c r="N558" s="984"/>
      <c r="O558" s="985"/>
      <c r="P558" s="984"/>
      <c r="Q558" s="986"/>
    </row>
    <row r="559" spans="2:17" x14ac:dyDescent="0.25">
      <c r="B559" s="210"/>
      <c r="C559" s="207"/>
      <c r="D559" s="207" t="s">
        <v>459</v>
      </c>
      <c r="E559" s="207" t="str">
        <f>'Inventário Físico'!B57</f>
        <v>Bebedouros cachaços</v>
      </c>
      <c r="F559" s="207"/>
      <c r="G559" s="207"/>
      <c r="H559" s="207"/>
      <c r="I559" s="207"/>
      <c r="J559" s="207"/>
      <c r="K559" s="207"/>
      <c r="L559" s="984">
        <f>((('Inventário Físico'!E57*'Inventário Físico'!F57)*'Caracterização do sistema'!$I$35)/(365/7))</f>
        <v>0.33309707762557073</v>
      </c>
      <c r="M559" s="985"/>
      <c r="N559" s="984">
        <f t="shared" ref="N559:N567" si="48">L559*4.345</f>
        <v>1.4473068022831048</v>
      </c>
      <c r="O559" s="985"/>
      <c r="P559" s="984">
        <f t="shared" ref="P559:P567" si="49">N559*12</f>
        <v>17.367681627397257</v>
      </c>
      <c r="Q559" s="986"/>
    </row>
    <row r="560" spans="2:17" x14ac:dyDescent="0.25">
      <c r="B560" s="210"/>
      <c r="C560" s="207"/>
      <c r="D560" s="207" t="s">
        <v>460</v>
      </c>
      <c r="E560" s="207" t="str">
        <f>'Inventário Físico'!B58</f>
        <v>Carrinho para alimentação cachaços</v>
      </c>
      <c r="F560" s="207"/>
      <c r="G560" s="207"/>
      <c r="H560" s="207"/>
      <c r="I560" s="207"/>
      <c r="J560" s="207"/>
      <c r="K560" s="207"/>
      <c r="L560" s="984">
        <f>((('Inventário Físico'!E58*'Inventário Físico'!F58)*'Caracterização do sistema'!$I$35)/(365/7))</f>
        <v>0.7912876712328768</v>
      </c>
      <c r="M560" s="985"/>
      <c r="N560" s="984">
        <f t="shared" si="48"/>
        <v>3.4381449315068493</v>
      </c>
      <c r="O560" s="985"/>
      <c r="P560" s="984">
        <f t="shared" si="49"/>
        <v>41.25773917808219</v>
      </c>
      <c r="Q560" s="986"/>
    </row>
    <row r="561" spans="2:17" x14ac:dyDescent="0.25">
      <c r="B561" s="210"/>
      <c r="C561" s="207"/>
      <c r="D561" s="207" t="s">
        <v>461</v>
      </c>
      <c r="E561" s="207" t="str">
        <f>'Inventário Físico'!B59</f>
        <v>Conchas</v>
      </c>
      <c r="F561" s="207"/>
      <c r="G561" s="207"/>
      <c r="H561" s="207"/>
      <c r="I561" s="207"/>
      <c r="J561" s="207"/>
      <c r="K561" s="207"/>
      <c r="L561" s="984">
        <f>((('Inventário Físico'!E59*'Inventário Físico'!F59)*'Caracterização do sistema'!$I$35)/(365/7))</f>
        <v>0.11583561643835616</v>
      </c>
      <c r="M561" s="985"/>
      <c r="N561" s="984">
        <f t="shared" si="48"/>
        <v>0.50330575342465744</v>
      </c>
      <c r="O561" s="985"/>
      <c r="P561" s="984">
        <f t="shared" si="49"/>
        <v>6.0396690410958893</v>
      </c>
      <c r="Q561" s="986"/>
    </row>
    <row r="562" spans="2:17" x14ac:dyDescent="0.25">
      <c r="B562" s="210"/>
      <c r="C562" s="207"/>
      <c r="D562" s="207" t="s">
        <v>462</v>
      </c>
      <c r="E562" s="207" t="str">
        <f>'Inventário Físico'!B60</f>
        <v xml:space="preserve">Cortina </v>
      </c>
      <c r="F562" s="207"/>
      <c r="G562" s="207"/>
      <c r="H562" s="207"/>
      <c r="I562" s="207"/>
      <c r="J562" s="207"/>
      <c r="K562" s="207"/>
      <c r="L562" s="984">
        <f>((('Inventário Físico'!E60*'Inventário Físico'!F60)*'Caracterização do sistema'!$I$35)/(365/7))</f>
        <v>1.3830082191780821</v>
      </c>
      <c r="M562" s="985"/>
      <c r="N562" s="984">
        <f t="shared" si="48"/>
        <v>6.0091707123287668</v>
      </c>
      <c r="O562" s="985"/>
      <c r="P562" s="984">
        <f t="shared" si="49"/>
        <v>72.110048547945198</v>
      </c>
      <c r="Q562" s="986"/>
    </row>
    <row r="563" spans="2:17" x14ac:dyDescent="0.25">
      <c r="B563" s="210"/>
      <c r="C563" s="207"/>
      <c r="D563" s="207" t="s">
        <v>463</v>
      </c>
      <c r="E563" s="207" t="str">
        <f>'Inventário Físico'!B61</f>
        <v xml:space="preserve">Lâmpada instalações </v>
      </c>
      <c r="F563" s="207"/>
      <c r="G563" s="207"/>
      <c r="H563" s="207"/>
      <c r="I563" s="207"/>
      <c r="J563" s="207"/>
      <c r="K563" s="207"/>
      <c r="L563" s="984">
        <f>((('Inventário Físico'!E61*'Inventário Físico'!F61)*'Caracterização do sistema'!$I$35)/(365/7))</f>
        <v>3.2526027397260272E-2</v>
      </c>
      <c r="M563" s="985"/>
      <c r="N563" s="984">
        <f t="shared" si="48"/>
        <v>0.14132558904109588</v>
      </c>
      <c r="O563" s="985"/>
      <c r="P563" s="984">
        <f t="shared" si="49"/>
        <v>1.6959070684931505</v>
      </c>
      <c r="Q563" s="986"/>
    </row>
    <row r="564" spans="2:17" x14ac:dyDescent="0.25">
      <c r="B564" s="210"/>
      <c r="C564" s="207"/>
      <c r="D564" s="207" t="s">
        <v>464</v>
      </c>
      <c r="E564" s="207" t="str">
        <f>'Inventário Físico'!B62</f>
        <v xml:space="preserve">Termômetro </v>
      </c>
      <c r="F564" s="207"/>
      <c r="G564" s="207"/>
      <c r="H564" s="207"/>
      <c r="I564" s="207"/>
      <c r="J564" s="207"/>
      <c r="K564" s="207"/>
      <c r="L564" s="984">
        <f>((('Inventário Físico'!E62*'Inventário Físico'!F62)*'Caracterização do sistema'!$I$35)/(365/7))</f>
        <v>0.23307123287671233</v>
      </c>
      <c r="M564" s="985"/>
      <c r="N564" s="984">
        <f t="shared" si="48"/>
        <v>1.0126945068493149</v>
      </c>
      <c r="O564" s="985"/>
      <c r="P564" s="984">
        <f t="shared" si="49"/>
        <v>12.152334082191778</v>
      </c>
      <c r="Q564" s="986"/>
    </row>
    <row r="565" spans="2:17" x14ac:dyDescent="0.25">
      <c r="B565" s="210"/>
      <c r="C565" s="207"/>
      <c r="D565" s="207" t="s">
        <v>465</v>
      </c>
      <c r="E565" s="207" t="str">
        <f>'Inventário Físico'!B63</f>
        <v>Mangueira</v>
      </c>
      <c r="F565" s="207"/>
      <c r="G565" s="207"/>
      <c r="H565" s="207"/>
      <c r="I565" s="207"/>
      <c r="J565" s="207"/>
      <c r="K565" s="207"/>
      <c r="L565" s="984">
        <f>((('Inventário Físico'!E63*'Inventário Físico'!F63)*'Caracterização do sistema'!$I$35)/(365/7))</f>
        <v>0.19158904109589045</v>
      </c>
      <c r="M565" s="985"/>
      <c r="N565" s="984">
        <f t="shared" si="48"/>
        <v>0.83245438356164392</v>
      </c>
      <c r="O565" s="985"/>
      <c r="P565" s="984">
        <f t="shared" si="49"/>
        <v>9.9894526027397266</v>
      </c>
      <c r="Q565" s="986"/>
    </row>
    <row r="566" spans="2:17" x14ac:dyDescent="0.25">
      <c r="B566" s="210"/>
      <c r="C566" s="207"/>
      <c r="D566" s="207" t="s">
        <v>466</v>
      </c>
      <c r="E566" s="207" t="str">
        <f>'Inventário Físico'!B64</f>
        <v>Equipamento 2</v>
      </c>
      <c r="F566" s="207"/>
      <c r="G566" s="207"/>
      <c r="H566" s="207"/>
      <c r="I566" s="207"/>
      <c r="J566" s="207"/>
      <c r="K566" s="207"/>
      <c r="L566" s="984">
        <f>((('Inventário Físico'!E64*'Inventário Físico'!F64)*'Caracterização do sistema'!$I$35)/(365/7))</f>
        <v>0</v>
      </c>
      <c r="M566" s="985"/>
      <c r="N566" s="984">
        <f t="shared" si="48"/>
        <v>0</v>
      </c>
      <c r="O566" s="985"/>
      <c r="P566" s="984">
        <f t="shared" si="49"/>
        <v>0</v>
      </c>
      <c r="Q566" s="986"/>
    </row>
    <row r="567" spans="2:17" x14ac:dyDescent="0.25">
      <c r="B567" s="210"/>
      <c r="C567" s="207"/>
      <c r="D567" s="207" t="s">
        <v>467</v>
      </c>
      <c r="E567" s="207" t="str">
        <f>'Inventário Físico'!B65</f>
        <v>Equipamento 3</v>
      </c>
      <c r="F567" s="207"/>
      <c r="G567" s="207"/>
      <c r="H567" s="207"/>
      <c r="I567" s="207"/>
      <c r="J567" s="207"/>
      <c r="K567" s="207"/>
      <c r="L567" s="984">
        <f>((('Inventário Físico'!E65*'Inventário Físico'!F65)*'Caracterização do sistema'!$I$35)/(365/7))</f>
        <v>0</v>
      </c>
      <c r="M567" s="985"/>
      <c r="N567" s="984">
        <f t="shared" si="48"/>
        <v>0</v>
      </c>
      <c r="O567" s="985"/>
      <c r="P567" s="984">
        <f t="shared" si="49"/>
        <v>0</v>
      </c>
      <c r="Q567" s="986"/>
    </row>
    <row r="568" spans="2:17" x14ac:dyDescent="0.25">
      <c r="B568" s="210"/>
      <c r="C568" s="207"/>
      <c r="D568" s="207"/>
      <c r="E568" s="269" t="s">
        <v>49</v>
      </c>
      <c r="F568" s="207"/>
      <c r="G568" s="207"/>
      <c r="H568" s="207"/>
      <c r="I568" s="207"/>
      <c r="J568" s="207"/>
      <c r="K568" s="207"/>
      <c r="L568" s="984"/>
      <c r="M568" s="985"/>
      <c r="N568" s="984"/>
      <c r="O568" s="985"/>
      <c r="P568" s="984"/>
      <c r="Q568" s="986"/>
    </row>
    <row r="569" spans="2:17" x14ac:dyDescent="0.25">
      <c r="B569" s="210"/>
      <c r="C569" s="207"/>
      <c r="D569" s="207" t="s">
        <v>468</v>
      </c>
      <c r="E569" s="207" t="str">
        <f>'Inventário Físico'!B67</f>
        <v>Bebedouros rufiões</v>
      </c>
      <c r="F569" s="207"/>
      <c r="G569" s="207"/>
      <c r="H569" s="207"/>
      <c r="I569" s="207"/>
      <c r="J569" s="207"/>
      <c r="K569" s="207"/>
      <c r="L569" s="984">
        <f>((('Inventário Físico'!E67*'Inventário Físico'!F67)*'Caracterização do sistema'!$I$35)/(365/7))</f>
        <v>0.49964561643835625</v>
      </c>
      <c r="M569" s="985"/>
      <c r="N569" s="984">
        <f t="shared" ref="N569:N577" si="50">L569*4.345</f>
        <v>2.170960203424658</v>
      </c>
      <c r="O569" s="985"/>
      <c r="P569" s="984">
        <f t="shared" ref="P569:P577" si="51">N569*12</f>
        <v>26.051522441095898</v>
      </c>
      <c r="Q569" s="986"/>
    </row>
    <row r="570" spans="2:17" x14ac:dyDescent="0.25">
      <c r="B570" s="210"/>
      <c r="C570" s="207"/>
      <c r="D570" s="207" t="s">
        <v>469</v>
      </c>
      <c r="E570" s="207" t="str">
        <f>'Inventário Físico'!B68</f>
        <v>Carrinho para alimentação rufiões</v>
      </c>
      <c r="F570" s="207"/>
      <c r="G570" s="207"/>
      <c r="H570" s="207"/>
      <c r="I570" s="207"/>
      <c r="J570" s="207"/>
      <c r="K570" s="207"/>
      <c r="L570" s="984">
        <f>((('Inventário Físico'!E68*'Inventário Físico'!F68)*'Caracterização do sistema'!$I$35)/(365/7))</f>
        <v>1.1869315068493154</v>
      </c>
      <c r="M570" s="985"/>
      <c r="N570" s="984">
        <f t="shared" si="50"/>
        <v>5.1572173972602746</v>
      </c>
      <c r="O570" s="985"/>
      <c r="P570" s="984">
        <f t="shared" si="51"/>
        <v>61.886608767123292</v>
      </c>
      <c r="Q570" s="986"/>
    </row>
    <row r="571" spans="2:17" x14ac:dyDescent="0.25">
      <c r="B571" s="210"/>
      <c r="C571" s="207"/>
      <c r="D571" s="207" t="s">
        <v>470</v>
      </c>
      <c r="E571" s="207" t="str">
        <f>'Inventário Físico'!B69</f>
        <v>Conchas</v>
      </c>
      <c r="F571" s="207"/>
      <c r="G571" s="207"/>
      <c r="H571" s="207"/>
      <c r="I571" s="207"/>
      <c r="J571" s="207"/>
      <c r="K571" s="207"/>
      <c r="L571" s="984">
        <f>((('Inventário Físico'!E69*'Inventário Físico'!F69)*'Caracterização do sistema'!$I$35)/(365/7))</f>
        <v>0.17375342465753424</v>
      </c>
      <c r="M571" s="985"/>
      <c r="N571" s="984">
        <f t="shared" si="50"/>
        <v>0.75495863013698628</v>
      </c>
      <c r="O571" s="985"/>
      <c r="P571" s="984">
        <f t="shared" si="51"/>
        <v>9.0595035616438349</v>
      </c>
      <c r="Q571" s="986"/>
    </row>
    <row r="572" spans="2:17" x14ac:dyDescent="0.25">
      <c r="B572" s="210"/>
      <c r="C572" s="207"/>
      <c r="D572" s="207" t="s">
        <v>471</v>
      </c>
      <c r="E572" s="207" t="str">
        <f>'Inventário Físico'!B70</f>
        <v xml:space="preserve">Cortina </v>
      </c>
      <c r="F572" s="207"/>
      <c r="G572" s="207"/>
      <c r="H572" s="207"/>
      <c r="I572" s="207"/>
      <c r="J572" s="207"/>
      <c r="K572" s="207"/>
      <c r="L572" s="984">
        <f>((('Inventário Físico'!E70*'Inventário Físico'!F70)*'Caracterização do sistema'!$I$35)/(365/7))</f>
        <v>1.7287602739726027</v>
      </c>
      <c r="M572" s="985"/>
      <c r="N572" s="984">
        <f t="shared" si="50"/>
        <v>7.5114633904109578</v>
      </c>
      <c r="O572" s="985"/>
      <c r="P572" s="984">
        <f t="shared" si="51"/>
        <v>90.137560684931486</v>
      </c>
      <c r="Q572" s="986"/>
    </row>
    <row r="573" spans="2:17" x14ac:dyDescent="0.25">
      <c r="B573" s="210"/>
      <c r="C573" s="207"/>
      <c r="D573" s="207" t="s">
        <v>472</v>
      </c>
      <c r="E573" s="207" t="str">
        <f>'Inventário Físico'!B71</f>
        <v xml:space="preserve">Lâmpada instalações </v>
      </c>
      <c r="F573" s="207"/>
      <c r="G573" s="207"/>
      <c r="H573" s="207"/>
      <c r="I573" s="207"/>
      <c r="J573" s="207"/>
      <c r="K573" s="207"/>
      <c r="L573" s="984">
        <f>((('Inventário Físico'!E71*'Inventário Físico'!F71)*'Caracterização do sistema'!$I$35)/(365/7))</f>
        <v>3.2526027397260272E-2</v>
      </c>
      <c r="M573" s="985"/>
      <c r="N573" s="984">
        <f t="shared" si="50"/>
        <v>0.14132558904109588</v>
      </c>
      <c r="O573" s="985"/>
      <c r="P573" s="984">
        <f t="shared" si="51"/>
        <v>1.6959070684931505</v>
      </c>
      <c r="Q573" s="986"/>
    </row>
    <row r="574" spans="2:17" x14ac:dyDescent="0.25">
      <c r="B574" s="210"/>
      <c r="C574" s="207"/>
      <c r="D574" s="207" t="s">
        <v>473</v>
      </c>
      <c r="E574" s="207" t="str">
        <f>'Inventário Físico'!B72</f>
        <v xml:space="preserve">Termômetro </v>
      </c>
      <c r="F574" s="207"/>
      <c r="G574" s="207"/>
      <c r="H574" s="207"/>
      <c r="I574" s="207"/>
      <c r="J574" s="207"/>
      <c r="K574" s="207"/>
      <c r="L574" s="984">
        <f>((('Inventário Físico'!E72*'Inventário Físico'!F72)*'Caracterização do sistema'!$I$35)/(365/7))</f>
        <v>0.23307123287671233</v>
      </c>
      <c r="M574" s="985"/>
      <c r="N574" s="984">
        <f t="shared" si="50"/>
        <v>1.0126945068493149</v>
      </c>
      <c r="O574" s="985"/>
      <c r="P574" s="984">
        <f t="shared" si="51"/>
        <v>12.152334082191778</v>
      </c>
      <c r="Q574" s="986"/>
    </row>
    <row r="575" spans="2:17" x14ac:dyDescent="0.25">
      <c r="B575" s="210"/>
      <c r="C575" s="207"/>
      <c r="D575" s="207" t="s">
        <v>474</v>
      </c>
      <c r="E575" s="207" t="str">
        <f>'Inventário Físico'!B73</f>
        <v>Mangueira</v>
      </c>
      <c r="F575" s="207"/>
      <c r="G575" s="207"/>
      <c r="H575" s="207"/>
      <c r="I575" s="207"/>
      <c r="J575" s="207"/>
      <c r="K575" s="207"/>
      <c r="L575" s="984">
        <f>((('Inventário Físico'!E73*'Inventário Físico'!F73)*'Caracterização do sistema'!$I$35)/(365/7))</f>
        <v>0.19158904109589045</v>
      </c>
      <c r="M575" s="985"/>
      <c r="N575" s="984">
        <f t="shared" si="50"/>
        <v>0.83245438356164392</v>
      </c>
      <c r="O575" s="985"/>
      <c r="P575" s="984">
        <f t="shared" si="51"/>
        <v>9.9894526027397266</v>
      </c>
      <c r="Q575" s="986"/>
    </row>
    <row r="576" spans="2:17" x14ac:dyDescent="0.25">
      <c r="B576" s="210"/>
      <c r="C576" s="207"/>
      <c r="D576" s="207" t="s">
        <v>475</v>
      </c>
      <c r="E576" s="207" t="str">
        <f>'Inventário Físico'!B74</f>
        <v>Equipamento 2</v>
      </c>
      <c r="F576" s="207"/>
      <c r="G576" s="207"/>
      <c r="H576" s="207"/>
      <c r="I576" s="207"/>
      <c r="J576" s="207"/>
      <c r="K576" s="207"/>
      <c r="L576" s="984">
        <f>((('Inventário Físico'!E74*'Inventário Físico'!F74)*'Caracterização do sistema'!$I$35)/(365/7))</f>
        <v>0</v>
      </c>
      <c r="M576" s="985"/>
      <c r="N576" s="984">
        <f t="shared" si="50"/>
        <v>0</v>
      </c>
      <c r="O576" s="985"/>
      <c r="P576" s="984">
        <f t="shared" si="51"/>
        <v>0</v>
      </c>
      <c r="Q576" s="986"/>
    </row>
    <row r="577" spans="2:17" x14ac:dyDescent="0.25">
      <c r="B577" s="210"/>
      <c r="C577" s="207"/>
      <c r="D577" s="207" t="s">
        <v>476</v>
      </c>
      <c r="E577" s="207" t="str">
        <f>'Inventário Físico'!B75</f>
        <v>Equipamento 3</v>
      </c>
      <c r="F577" s="207"/>
      <c r="G577" s="207"/>
      <c r="H577" s="207"/>
      <c r="I577" s="207"/>
      <c r="J577" s="207"/>
      <c r="K577" s="207"/>
      <c r="L577" s="984">
        <f>((('Inventário Físico'!E75*'Inventário Físico'!F75)*'Caracterização do sistema'!$I$35)/(365/7))</f>
        <v>0</v>
      </c>
      <c r="M577" s="985"/>
      <c r="N577" s="984">
        <f t="shared" si="50"/>
        <v>0</v>
      </c>
      <c r="O577" s="985"/>
      <c r="P577" s="984">
        <f t="shared" si="51"/>
        <v>0</v>
      </c>
      <c r="Q577" s="986"/>
    </row>
    <row r="578" spans="2:17" x14ac:dyDescent="0.25">
      <c r="B578" s="210"/>
      <c r="C578" s="207"/>
      <c r="D578" s="207"/>
      <c r="E578" s="269" t="s">
        <v>554</v>
      </c>
      <c r="F578" s="207"/>
      <c r="G578" s="207"/>
      <c r="H578" s="207"/>
      <c r="I578" s="207"/>
      <c r="J578" s="207"/>
      <c r="K578" s="207"/>
      <c r="L578" s="984"/>
      <c r="M578" s="985"/>
      <c r="N578" s="984"/>
      <c r="O578" s="985"/>
      <c r="P578" s="984"/>
      <c r="Q578" s="986"/>
    </row>
    <row r="579" spans="2:17" x14ac:dyDescent="0.25">
      <c r="B579" s="210"/>
      <c r="C579" s="207"/>
      <c r="D579" s="207" t="s">
        <v>477</v>
      </c>
      <c r="E579" s="207" t="str">
        <f>'Inventário Físico'!B78</f>
        <v>Alimentador automático (gestação)</v>
      </c>
      <c r="F579" s="207"/>
      <c r="G579" s="207"/>
      <c r="H579" s="207"/>
      <c r="I579" s="207"/>
      <c r="J579" s="207"/>
      <c r="K579" s="207"/>
      <c r="L579" s="984">
        <f>((('Inventário Físico'!E78*'Inventário Físico'!F78)*'Caracterização do sistema'!$I$35)/(365/7))</f>
        <v>104.25847945205479</v>
      </c>
      <c r="M579" s="985"/>
      <c r="N579" s="984">
        <f t="shared" ref="N579:N589" si="52">L579*4.345</f>
        <v>453.00309321917803</v>
      </c>
      <c r="O579" s="985"/>
      <c r="P579" s="984">
        <f t="shared" ref="P579:P589" si="53">N579*12</f>
        <v>5436.0371186301363</v>
      </c>
      <c r="Q579" s="986"/>
    </row>
    <row r="580" spans="2:17" x14ac:dyDescent="0.25">
      <c r="B580" s="210"/>
      <c r="C580" s="207"/>
      <c r="D580" s="207" t="s">
        <v>478</v>
      </c>
      <c r="E580" s="207" t="str">
        <f>'Inventário Físico'!B79</f>
        <v xml:space="preserve">Gaiolas gestação </v>
      </c>
      <c r="F580" s="207"/>
      <c r="G580" s="207"/>
      <c r="H580" s="207"/>
      <c r="I580" s="207"/>
      <c r="J580" s="207"/>
      <c r="K580" s="207"/>
      <c r="L580" s="984">
        <f>((('Inventário Físico'!E79*'Inventário Físico'!F79)*'Caracterização do sistema'!$I$35)/(365/7))</f>
        <v>2139.7307094938578</v>
      </c>
      <c r="M580" s="985"/>
      <c r="N580" s="984">
        <f t="shared" si="52"/>
        <v>9297.1299327508113</v>
      </c>
      <c r="O580" s="985"/>
      <c r="P580" s="984">
        <f t="shared" si="53"/>
        <v>111565.55919300974</v>
      </c>
      <c r="Q580" s="986"/>
    </row>
    <row r="581" spans="2:17" x14ac:dyDescent="0.25">
      <c r="B581" s="210"/>
      <c r="C581" s="207"/>
      <c r="D581" s="207" t="s">
        <v>479</v>
      </c>
      <c r="E581" s="207" t="str">
        <f>'Inventário Físico'!B80</f>
        <v>Bebedouro gestação</v>
      </c>
      <c r="F581" s="207"/>
      <c r="G581" s="207"/>
      <c r="H581" s="207"/>
      <c r="I581" s="207"/>
      <c r="J581" s="207"/>
      <c r="K581" s="207"/>
      <c r="L581" s="984">
        <f>((('Inventário Físico'!E80*'Inventário Físico'!F80)*'Caracterização do sistema'!$I$35)/(365/7))</f>
        <v>23.190904895543721</v>
      </c>
      <c r="M581" s="985"/>
      <c r="N581" s="984">
        <f t="shared" si="52"/>
        <v>100.76448177113745</v>
      </c>
      <c r="O581" s="985"/>
      <c r="P581" s="984">
        <f t="shared" si="53"/>
        <v>1209.1737812536494</v>
      </c>
      <c r="Q581" s="986"/>
    </row>
    <row r="582" spans="2:17" x14ac:dyDescent="0.25">
      <c r="B582" s="210"/>
      <c r="C582" s="207"/>
      <c r="D582" s="207" t="s">
        <v>480</v>
      </c>
      <c r="E582" s="207" t="str">
        <f>'Inventário Físico'!B81</f>
        <v xml:space="preserve">Ventiladores </v>
      </c>
      <c r="F582" s="207"/>
      <c r="G582" s="207"/>
      <c r="H582" s="207"/>
      <c r="I582" s="207"/>
      <c r="J582" s="207"/>
      <c r="K582" s="207"/>
      <c r="L582" s="984">
        <f>((('Inventário Físico'!E81*'Inventário Físico'!F81)*'Caracterização do sistema'!$I$35)/(365/7))</f>
        <v>113.23698630136985</v>
      </c>
      <c r="M582" s="985"/>
      <c r="N582" s="984">
        <f t="shared" si="52"/>
        <v>492.014705479452</v>
      </c>
      <c r="O582" s="985"/>
      <c r="P582" s="984">
        <f t="shared" si="53"/>
        <v>5904.1764657534241</v>
      </c>
      <c r="Q582" s="986"/>
    </row>
    <row r="583" spans="2:17" x14ac:dyDescent="0.25">
      <c r="B583" s="210"/>
      <c r="C583" s="207"/>
      <c r="D583" s="207" t="s">
        <v>481</v>
      </c>
      <c r="E583" s="207" t="str">
        <f>'Inventário Físico'!B82</f>
        <v>Geladeira (vacinas)</v>
      </c>
      <c r="F583" s="207"/>
      <c r="G583" s="207"/>
      <c r="H583" s="207"/>
      <c r="I583" s="207"/>
      <c r="J583" s="207"/>
      <c r="K583" s="207"/>
      <c r="L583" s="984">
        <f>((('Inventário Físico'!E82*'Inventário Físico'!F82)*'Caracterização do sistema'!$I$35)/(365/7))</f>
        <v>4.4109397260273973</v>
      </c>
      <c r="M583" s="985"/>
      <c r="N583" s="984">
        <f t="shared" si="52"/>
        <v>19.165533109589038</v>
      </c>
      <c r="O583" s="985"/>
      <c r="P583" s="984">
        <f t="shared" si="53"/>
        <v>229.98639731506847</v>
      </c>
      <c r="Q583" s="986"/>
    </row>
    <row r="584" spans="2:17" x14ac:dyDescent="0.25">
      <c r="B584" s="210"/>
      <c r="C584" s="207"/>
      <c r="D584" s="207" t="s">
        <v>482</v>
      </c>
      <c r="E584" s="207" t="str">
        <f>'Inventário Físico'!B83</f>
        <v xml:space="preserve">Cortina </v>
      </c>
      <c r="F584" s="207"/>
      <c r="G584" s="207"/>
      <c r="H584" s="207"/>
      <c r="I584" s="207"/>
      <c r="J584" s="207"/>
      <c r="K584" s="207"/>
      <c r="L584" s="984">
        <f>((('Inventário Físico'!E83*'Inventário Físico'!F83)*'Caracterização do sistema'!$I$35)/(365/7))</f>
        <v>44.934344899370998</v>
      </c>
      <c r="M584" s="985"/>
      <c r="N584" s="984">
        <f t="shared" si="52"/>
        <v>195.23972858776699</v>
      </c>
      <c r="O584" s="985"/>
      <c r="P584" s="984">
        <f t="shared" si="53"/>
        <v>2342.8767430532039</v>
      </c>
      <c r="Q584" s="986"/>
    </row>
    <row r="585" spans="2:17" x14ac:dyDescent="0.25">
      <c r="B585" s="210"/>
      <c r="C585" s="207"/>
      <c r="D585" s="207" t="s">
        <v>483</v>
      </c>
      <c r="E585" s="207" t="str">
        <f>'Inventário Físico'!B84</f>
        <v xml:space="preserve">Lâmpada instalações </v>
      </c>
      <c r="F585" s="207"/>
      <c r="G585" s="207"/>
      <c r="H585" s="207"/>
      <c r="I585" s="207"/>
      <c r="J585" s="207"/>
      <c r="K585" s="207"/>
      <c r="L585" s="984">
        <f>((('Inventário Físico'!E84*'Inventário Físico'!F84)*'Caracterização do sistema'!$I$35)/(365/7))</f>
        <v>0.40657534246575344</v>
      </c>
      <c r="M585" s="985"/>
      <c r="N585" s="984">
        <f t="shared" si="52"/>
        <v>1.7665698630136986</v>
      </c>
      <c r="O585" s="985"/>
      <c r="P585" s="984">
        <f t="shared" si="53"/>
        <v>21.198838356164384</v>
      </c>
      <c r="Q585" s="986"/>
    </row>
    <row r="586" spans="2:17" x14ac:dyDescent="0.25">
      <c r="B586" s="210"/>
      <c r="C586" s="207"/>
      <c r="D586" s="207" t="s">
        <v>484</v>
      </c>
      <c r="E586" s="207" t="str">
        <f>'Inventário Físico'!B85</f>
        <v xml:space="preserve">Termômetro </v>
      </c>
      <c r="F586" s="207"/>
      <c r="G586" s="207"/>
      <c r="H586" s="207"/>
      <c r="I586" s="207"/>
      <c r="J586" s="207"/>
      <c r="K586" s="207"/>
      <c r="L586" s="984">
        <f>((('Inventário Físico'!E85*'Inventário Físico'!F85)*'Caracterização do sistema'!$I$35)/(365/7))</f>
        <v>1.1653561643835615</v>
      </c>
      <c r="M586" s="985"/>
      <c r="N586" s="984">
        <f t="shared" si="52"/>
        <v>5.0634725342465741</v>
      </c>
      <c r="O586" s="985"/>
      <c r="P586" s="984">
        <f t="shared" si="53"/>
        <v>60.761670410958885</v>
      </c>
      <c r="Q586" s="986"/>
    </row>
    <row r="587" spans="2:17" x14ac:dyDescent="0.25">
      <c r="B587" s="210"/>
      <c r="C587" s="207"/>
      <c r="D587" s="207" t="s">
        <v>485</v>
      </c>
      <c r="E587" s="207" t="str">
        <f>'Inventário Físico'!B86</f>
        <v>Mangueira</v>
      </c>
      <c r="F587" s="207"/>
      <c r="G587" s="207"/>
      <c r="H587" s="207"/>
      <c r="I587" s="207"/>
      <c r="J587" s="207"/>
      <c r="K587" s="207"/>
      <c r="L587" s="984">
        <f>((('Inventário Físico'!E86*'Inventário Físico'!F86)*'Caracterização do sistema'!$I$35)/(365/7))</f>
        <v>0.95794520547945206</v>
      </c>
      <c r="M587" s="985"/>
      <c r="N587" s="984">
        <f t="shared" si="52"/>
        <v>4.1622719178082193</v>
      </c>
      <c r="O587" s="985"/>
      <c r="P587" s="984">
        <f t="shared" si="53"/>
        <v>49.947263013698631</v>
      </c>
      <c r="Q587" s="986"/>
    </row>
    <row r="588" spans="2:17" x14ac:dyDescent="0.25">
      <c r="B588" s="210"/>
      <c r="C588" s="207"/>
      <c r="D588" s="207" t="s">
        <v>486</v>
      </c>
      <c r="E588" s="207" t="str">
        <f>'Inventário Físico'!B87</f>
        <v>Equipamento 2</v>
      </c>
      <c r="F588" s="207"/>
      <c r="G588" s="207"/>
      <c r="H588" s="207"/>
      <c r="I588" s="207"/>
      <c r="J588" s="207"/>
      <c r="K588" s="207"/>
      <c r="L588" s="984">
        <f>((('Inventário Físico'!E87*'Inventário Físico'!F87)*'Caracterização do sistema'!$I$35)/(365/7))</f>
        <v>0</v>
      </c>
      <c r="M588" s="985"/>
      <c r="N588" s="984">
        <f t="shared" si="52"/>
        <v>0</v>
      </c>
      <c r="O588" s="985"/>
      <c r="P588" s="984">
        <f t="shared" si="53"/>
        <v>0</v>
      </c>
      <c r="Q588" s="986"/>
    </row>
    <row r="589" spans="2:17" x14ac:dyDescent="0.25">
      <c r="B589" s="210"/>
      <c r="C589" s="207"/>
      <c r="D589" s="207" t="s">
        <v>487</v>
      </c>
      <c r="E589" s="207" t="str">
        <f>'Inventário Físico'!B88</f>
        <v>Equipamento 3</v>
      </c>
      <c r="F589" s="207"/>
      <c r="G589" s="207"/>
      <c r="H589" s="207"/>
      <c r="I589" s="207"/>
      <c r="J589" s="207"/>
      <c r="K589" s="207"/>
      <c r="L589" s="984">
        <f>((('Inventário Físico'!E88*'Inventário Físico'!F88)*'Caracterização do sistema'!$I$35)/(365/7))</f>
        <v>0</v>
      </c>
      <c r="M589" s="985"/>
      <c r="N589" s="984">
        <f t="shared" si="52"/>
        <v>0</v>
      </c>
      <c r="O589" s="985"/>
      <c r="P589" s="984">
        <f t="shared" si="53"/>
        <v>0</v>
      </c>
      <c r="Q589" s="986"/>
    </row>
    <row r="590" spans="2:17" x14ac:dyDescent="0.25">
      <c r="B590" s="210"/>
      <c r="C590" s="207"/>
      <c r="D590" s="207"/>
      <c r="E590" s="270" t="str">
        <f>'Inventário Físico'!B89</f>
        <v xml:space="preserve">Gestação em baias coeltivas </v>
      </c>
      <c r="F590" s="207"/>
      <c r="G590" s="207"/>
      <c r="H590" s="207"/>
      <c r="I590" s="207"/>
      <c r="J590" s="207"/>
      <c r="K590" s="207"/>
      <c r="L590" s="984"/>
      <c r="M590" s="985"/>
      <c r="N590" s="984"/>
      <c r="O590" s="985"/>
      <c r="P590" s="984"/>
      <c r="Q590" s="986"/>
    </row>
    <row r="591" spans="2:17" x14ac:dyDescent="0.25">
      <c r="B591" s="210"/>
      <c r="C591" s="207"/>
      <c r="D591" s="207" t="s">
        <v>488</v>
      </c>
      <c r="E591" s="207" t="str">
        <f>'Inventário Físico'!B90</f>
        <v xml:space="preserve">Estação automática de alimentação </v>
      </c>
      <c r="F591" s="207"/>
      <c r="G591" s="207"/>
      <c r="H591" s="207"/>
      <c r="I591" s="207"/>
      <c r="J591" s="207"/>
      <c r="K591" s="207"/>
      <c r="L591" s="984">
        <f>((('Inventário Físico'!E90*'Inventário Físico'!F90)*'Caracterização do sistema'!$I$35)/(365/7))</f>
        <v>354.05690200210751</v>
      </c>
      <c r="M591" s="985"/>
      <c r="N591" s="984">
        <f t="shared" ref="N591:N601" si="54">L591*4.345</f>
        <v>1538.377239199157</v>
      </c>
      <c r="O591" s="985"/>
      <c r="P591" s="984">
        <f t="shared" ref="P591:P601" si="55">N591*12</f>
        <v>18460.526870389884</v>
      </c>
      <c r="Q591" s="986"/>
    </row>
    <row r="592" spans="2:17" x14ac:dyDescent="0.25">
      <c r="B592" s="210"/>
      <c r="C592" s="207"/>
      <c r="D592" s="207" t="s">
        <v>489</v>
      </c>
      <c r="E592" s="207" t="str">
        <f>'Inventário Físico'!B91</f>
        <v>Chips (identificação eletrônica das matrizes)</v>
      </c>
      <c r="F592" s="207"/>
      <c r="G592" s="207"/>
      <c r="H592" s="207"/>
      <c r="I592" s="207"/>
      <c r="J592" s="207"/>
      <c r="K592" s="207"/>
      <c r="L592" s="984">
        <f>((('Inventário Físico'!E91*'Inventário Físico'!F91)*'Caracterização do sistema'!$I$35)/(365/7))</f>
        <v>36.361643835616434</v>
      </c>
      <c r="M592" s="985"/>
      <c r="N592" s="984">
        <f t="shared" si="54"/>
        <v>157.99134246575341</v>
      </c>
      <c r="O592" s="985"/>
      <c r="P592" s="984">
        <f t="shared" si="55"/>
        <v>1895.8961095890409</v>
      </c>
      <c r="Q592" s="986"/>
    </row>
    <row r="593" spans="2:17" x14ac:dyDescent="0.25">
      <c r="B593" s="210"/>
      <c r="C593" s="207"/>
      <c r="D593" s="207" t="s">
        <v>490</v>
      </c>
      <c r="E593" s="207" t="str">
        <f>'Inventário Físico'!B92</f>
        <v>Bebedouro gest. Coletiva</v>
      </c>
      <c r="F593" s="207"/>
      <c r="G593" s="207"/>
      <c r="H593" s="207"/>
      <c r="I593" s="207"/>
      <c r="J593" s="207"/>
      <c r="K593" s="207"/>
      <c r="L593" s="984">
        <f>((('Inventário Físico'!E92*'Inventário Físico'!F92)*'Caracterização do sistema'!$I$35)/(365/7))</f>
        <v>0.67844383561643828</v>
      </c>
      <c r="M593" s="985"/>
      <c r="N593" s="984">
        <f t="shared" si="54"/>
        <v>2.9478384657534242</v>
      </c>
      <c r="O593" s="985"/>
      <c r="P593" s="984">
        <f t="shared" si="55"/>
        <v>35.374061589041091</v>
      </c>
      <c r="Q593" s="986"/>
    </row>
    <row r="594" spans="2:17" x14ac:dyDescent="0.25">
      <c r="B594" s="210"/>
      <c r="C594" s="207"/>
      <c r="D594" s="207" t="s">
        <v>491</v>
      </c>
      <c r="E594" s="207" t="str">
        <f>'Inventário Físico'!B93</f>
        <v xml:space="preserve">Ventiladores </v>
      </c>
      <c r="F594" s="207"/>
      <c r="G594" s="207"/>
      <c r="H594" s="207"/>
      <c r="I594" s="207"/>
      <c r="J594" s="207"/>
      <c r="K594" s="207"/>
      <c r="L594" s="984">
        <f>((('Inventário Físico'!E93*'Inventário Físico'!F93)*'Caracterização do sistema'!$I$35)/(365/7))</f>
        <v>12.9413698630137</v>
      </c>
      <c r="M594" s="985"/>
      <c r="N594" s="984">
        <f t="shared" si="54"/>
        <v>56.230252054794519</v>
      </c>
      <c r="O594" s="985"/>
      <c r="P594" s="984">
        <f t="shared" si="55"/>
        <v>674.76302465753429</v>
      </c>
      <c r="Q594" s="986"/>
    </row>
    <row r="595" spans="2:17" x14ac:dyDescent="0.25">
      <c r="B595" s="210"/>
      <c r="C595" s="207"/>
      <c r="D595" s="207" t="s">
        <v>492</v>
      </c>
      <c r="E595" s="207" t="str">
        <f>'Inventário Físico'!B94</f>
        <v>Geladeira (vacinas)</v>
      </c>
      <c r="F595" s="207"/>
      <c r="G595" s="207"/>
      <c r="H595" s="207"/>
      <c r="I595" s="207"/>
      <c r="J595" s="207"/>
      <c r="K595" s="207"/>
      <c r="L595" s="984">
        <f>((('Inventário Físico'!E94*'Inventário Físico'!F94)*'Caracterização do sistema'!$I$35)/(365/7))</f>
        <v>4.4109397260273973</v>
      </c>
      <c r="M595" s="985"/>
      <c r="N595" s="984">
        <f t="shared" si="54"/>
        <v>19.165533109589038</v>
      </c>
      <c r="O595" s="985"/>
      <c r="P595" s="984">
        <f t="shared" si="55"/>
        <v>229.98639731506847</v>
      </c>
      <c r="Q595" s="986"/>
    </row>
    <row r="596" spans="2:17" x14ac:dyDescent="0.25">
      <c r="B596" s="210"/>
      <c r="C596" s="207"/>
      <c r="D596" s="207" t="s">
        <v>493</v>
      </c>
      <c r="E596" s="207" t="str">
        <f>'Inventário Físico'!B95</f>
        <v xml:space="preserve">Cortina </v>
      </c>
      <c r="F596" s="207"/>
      <c r="G596" s="207"/>
      <c r="H596" s="207"/>
      <c r="I596" s="207"/>
      <c r="J596" s="207"/>
      <c r="K596" s="207"/>
      <c r="L596" s="984">
        <f>((('Inventário Físico'!E95*'Inventário Físico'!F95)*'Caracterização do sistema'!$I$35)/(365/7))</f>
        <v>28.168767123287669</v>
      </c>
      <c r="M596" s="985"/>
      <c r="N596" s="984">
        <f t="shared" si="54"/>
        <v>122.39329315068491</v>
      </c>
      <c r="O596" s="985"/>
      <c r="P596" s="984">
        <f t="shared" si="55"/>
        <v>1468.7195178082188</v>
      </c>
      <c r="Q596" s="986"/>
    </row>
    <row r="597" spans="2:17" x14ac:dyDescent="0.25">
      <c r="B597" s="210"/>
      <c r="C597" s="207"/>
      <c r="D597" s="207" t="s">
        <v>494</v>
      </c>
      <c r="E597" s="207" t="str">
        <f>'Inventário Físico'!B96</f>
        <v xml:space="preserve">Lâmpada instalações </v>
      </c>
      <c r="F597" s="207"/>
      <c r="G597" s="207"/>
      <c r="H597" s="207"/>
      <c r="I597" s="207"/>
      <c r="J597" s="207"/>
      <c r="K597" s="207"/>
      <c r="L597" s="984">
        <f>((('Inventário Físico'!E96*'Inventário Físico'!F96)*'Caracterização do sistema'!$I$35)/(365/7))</f>
        <v>8.1315068493150705E-2</v>
      </c>
      <c r="M597" s="985"/>
      <c r="N597" s="984">
        <f t="shared" si="54"/>
        <v>0.35331397260273978</v>
      </c>
      <c r="O597" s="985"/>
      <c r="P597" s="984">
        <f t="shared" si="55"/>
        <v>4.2397676712328778</v>
      </c>
      <c r="Q597" s="986"/>
    </row>
    <row r="598" spans="2:17" x14ac:dyDescent="0.25">
      <c r="B598" s="210"/>
      <c r="C598" s="207"/>
      <c r="D598" s="207" t="s">
        <v>495</v>
      </c>
      <c r="E598" s="207" t="str">
        <f>'Inventário Físico'!B97</f>
        <v xml:space="preserve">Termômetro </v>
      </c>
      <c r="F598" s="207"/>
      <c r="G598" s="207"/>
      <c r="H598" s="207"/>
      <c r="I598" s="207"/>
      <c r="J598" s="207"/>
      <c r="K598" s="207"/>
      <c r="L598" s="984">
        <f>((('Inventário Físico'!E97*'Inventário Físico'!F97)*'Caracterização do sistema'!$I$35)/(365/7))</f>
        <v>0.23307123287671233</v>
      </c>
      <c r="M598" s="985"/>
      <c r="N598" s="984">
        <f t="shared" si="54"/>
        <v>1.0126945068493149</v>
      </c>
      <c r="O598" s="985"/>
      <c r="P598" s="984">
        <f t="shared" si="55"/>
        <v>12.152334082191778</v>
      </c>
      <c r="Q598" s="986"/>
    </row>
    <row r="599" spans="2:17" x14ac:dyDescent="0.25">
      <c r="B599" s="210"/>
      <c r="C599" s="207"/>
      <c r="D599" s="207" t="s">
        <v>496</v>
      </c>
      <c r="E599" s="207" t="str">
        <f>'Inventário Físico'!B98</f>
        <v>Mangueira</v>
      </c>
      <c r="F599" s="207"/>
      <c r="G599" s="207"/>
      <c r="H599" s="207"/>
      <c r="I599" s="207"/>
      <c r="J599" s="207"/>
      <c r="K599" s="207"/>
      <c r="L599" s="984">
        <f>((('Inventário Físico'!E98*'Inventário Físico'!F98)*'Caracterização do sistema'!$I$35)/(365/7))</f>
        <v>0.3831780821917809</v>
      </c>
      <c r="M599" s="985"/>
      <c r="N599" s="984">
        <f t="shared" si="54"/>
        <v>1.6649087671232878</v>
      </c>
      <c r="O599" s="985"/>
      <c r="P599" s="984">
        <f t="shared" si="55"/>
        <v>19.978905205479453</v>
      </c>
      <c r="Q599" s="986"/>
    </row>
    <row r="600" spans="2:17" x14ac:dyDescent="0.25">
      <c r="B600" s="210"/>
      <c r="C600" s="207"/>
      <c r="D600" s="207" t="s">
        <v>497</v>
      </c>
      <c r="E600" s="207" t="str">
        <f>'Inventário Físico'!B99</f>
        <v>Equipamento 2</v>
      </c>
      <c r="F600" s="207"/>
      <c r="G600" s="207"/>
      <c r="H600" s="207"/>
      <c r="I600" s="207"/>
      <c r="J600" s="207"/>
      <c r="K600" s="207"/>
      <c r="L600" s="984">
        <f>((('Inventário Físico'!E99*'Inventário Físico'!F99)*'Caracterização do sistema'!$I$35)/(365/7))</f>
        <v>0</v>
      </c>
      <c r="M600" s="985"/>
      <c r="N600" s="984">
        <f t="shared" si="54"/>
        <v>0</v>
      </c>
      <c r="O600" s="985"/>
      <c r="P600" s="984">
        <f t="shared" si="55"/>
        <v>0</v>
      </c>
      <c r="Q600" s="986"/>
    </row>
    <row r="601" spans="2:17" x14ac:dyDescent="0.25">
      <c r="B601" s="210"/>
      <c r="C601" s="207"/>
      <c r="D601" s="207" t="s">
        <v>498</v>
      </c>
      <c r="E601" s="207" t="str">
        <f>'Inventário Físico'!B100</f>
        <v>Equipamento 3</v>
      </c>
      <c r="F601" s="207"/>
      <c r="G601" s="207"/>
      <c r="H601" s="207"/>
      <c r="I601" s="207"/>
      <c r="J601" s="207"/>
      <c r="K601" s="207"/>
      <c r="L601" s="984">
        <f>((('Inventário Físico'!E100*'Inventário Físico'!F100)*'Caracterização do sistema'!$I$35)/(365/7))</f>
        <v>0</v>
      </c>
      <c r="M601" s="985"/>
      <c r="N601" s="984">
        <f t="shared" si="54"/>
        <v>0</v>
      </c>
      <c r="O601" s="985"/>
      <c r="P601" s="984">
        <f t="shared" si="55"/>
        <v>0</v>
      </c>
      <c r="Q601" s="986"/>
    </row>
    <row r="602" spans="2:17" ht="44.25" customHeight="1" x14ac:dyDescent="0.25">
      <c r="B602" s="1036" t="s">
        <v>555</v>
      </c>
      <c r="C602" s="1037"/>
      <c r="D602" s="1037"/>
      <c r="E602" s="1037"/>
      <c r="F602" s="1037"/>
      <c r="G602" s="1037"/>
      <c r="H602" s="1037"/>
      <c r="I602" s="1037"/>
      <c r="J602" s="1037"/>
      <c r="K602" s="1037"/>
      <c r="L602" s="995">
        <f>SUM(L541:M557,L559:M567,L569:M577,L579:M589,L591:M601)</f>
        <v>2904.1939533000118</v>
      </c>
      <c r="M602" s="996"/>
      <c r="N602" s="995">
        <f>SUM(N541:O557,N559:O567,N569:O577,N579:O589,N591:O601)</f>
        <v>12618.722727088554</v>
      </c>
      <c r="O602" s="996"/>
      <c r="P602" s="995">
        <f>SUM(P541:Q557,P559:Q567,P569:Q577,P579:Q589,P591:Q601)</f>
        <v>151424.67272506264</v>
      </c>
      <c r="Q602" s="997"/>
    </row>
    <row r="603" spans="2:17" x14ac:dyDescent="0.25">
      <c r="B603" s="214"/>
      <c r="C603" s="211"/>
      <c r="D603" s="211" t="s">
        <v>499</v>
      </c>
      <c r="E603" s="211" t="str">
        <f>'Inventário Físico'!B102</f>
        <v>Cela + escamoteador</v>
      </c>
      <c r="F603" s="211"/>
      <c r="G603" s="211"/>
      <c r="H603" s="211"/>
      <c r="I603" s="211"/>
      <c r="J603" s="211"/>
      <c r="K603" s="211"/>
      <c r="L603" s="1010">
        <f>((('Inventário Físico'!E102*'Inventário Físico'!F102)*'Caracterização do sistema'!$I$35)/(365/7))</f>
        <v>2551.326579962787</v>
      </c>
      <c r="M603" s="1016"/>
      <c r="N603" s="1010">
        <f t="shared" ref="N603:N622" si="56">L603*4.345</f>
        <v>11085.513989938308</v>
      </c>
      <c r="O603" s="1016"/>
      <c r="P603" s="1010">
        <f>N603*12</f>
        <v>133026.16787925971</v>
      </c>
      <c r="Q603" s="1011"/>
    </row>
    <row r="604" spans="2:17" x14ac:dyDescent="0.25">
      <c r="B604" s="214"/>
      <c r="C604" s="211"/>
      <c r="D604" s="211" t="s">
        <v>500</v>
      </c>
      <c r="E604" s="211" t="str">
        <f>'Inventário Físico'!B103</f>
        <v>Alimentador automático (maternidade)</v>
      </c>
      <c r="F604" s="211"/>
      <c r="G604" s="211"/>
      <c r="H604" s="211"/>
      <c r="I604" s="211"/>
      <c r="J604" s="211"/>
      <c r="K604" s="211"/>
      <c r="L604" s="1010">
        <f>((('Inventário Físico'!E103*'Inventário Físico'!F103)*'Caracterização do sistema'!$I$35)/(365/7))</f>
        <v>104.25847945205479</v>
      </c>
      <c r="M604" s="1016"/>
      <c r="N604" s="1010">
        <f t="shared" si="56"/>
        <v>453.00309321917803</v>
      </c>
      <c r="O604" s="1016"/>
      <c r="P604" s="1010">
        <f t="shared" ref="P604:P622" si="57">N604*12</f>
        <v>5436.0371186301363</v>
      </c>
      <c r="Q604" s="1011"/>
    </row>
    <row r="605" spans="2:17" x14ac:dyDescent="0.25">
      <c r="B605" s="214"/>
      <c r="C605" s="211"/>
      <c r="D605" s="211" t="s">
        <v>501</v>
      </c>
      <c r="E605" s="211" t="str">
        <f>'Inventário Físico'!B104</f>
        <v xml:space="preserve">Bebedouro </v>
      </c>
      <c r="F605" s="211"/>
      <c r="G605" s="211"/>
      <c r="H605" s="211"/>
      <c r="I605" s="211"/>
      <c r="J605" s="211"/>
      <c r="K605" s="211"/>
      <c r="L605" s="1010">
        <f>((('Inventário Físico'!E104*'Inventário Físico'!F104)*'Caracterização do sistema'!$I$35)/(365/7))</f>
        <v>11.061304179518235</v>
      </c>
      <c r="M605" s="1016"/>
      <c r="N605" s="1010">
        <f t="shared" si="56"/>
        <v>48.061366660006726</v>
      </c>
      <c r="O605" s="1016"/>
      <c r="P605" s="1010">
        <f t="shared" si="57"/>
        <v>576.73639992008066</v>
      </c>
      <c r="Q605" s="1011"/>
    </row>
    <row r="606" spans="2:17" x14ac:dyDescent="0.25">
      <c r="B606" s="214"/>
      <c r="C606" s="211"/>
      <c r="D606" s="211" t="s">
        <v>502</v>
      </c>
      <c r="E606" s="211" t="str">
        <f>'Inventário Físico'!B105</f>
        <v xml:space="preserve">Escamoteador </v>
      </c>
      <c r="F606" s="211"/>
      <c r="G606" s="211"/>
      <c r="H606" s="211"/>
      <c r="I606" s="211"/>
      <c r="J606" s="211"/>
      <c r="K606" s="211"/>
      <c r="L606" s="1010">
        <f>((('Inventário Físico'!E105*'Inventário Físico'!F105)*'Caracterização do sistema'!$I$35)/(365/7))</f>
        <v>0</v>
      </c>
      <c r="M606" s="1016"/>
      <c r="N606" s="1010">
        <f t="shared" si="56"/>
        <v>0</v>
      </c>
      <c r="O606" s="1016"/>
      <c r="P606" s="1010">
        <f t="shared" si="57"/>
        <v>0</v>
      </c>
      <c r="Q606" s="1011"/>
    </row>
    <row r="607" spans="2:17" x14ac:dyDescent="0.25">
      <c r="B607" s="214"/>
      <c r="C607" s="211"/>
      <c r="D607" s="211" t="s">
        <v>503</v>
      </c>
      <c r="E607" s="211" t="str">
        <f>'Inventário Físico'!B106</f>
        <v xml:space="preserve">Lâmpada de aquecimento para leitões </v>
      </c>
      <c r="F607" s="211"/>
      <c r="G607" s="211"/>
      <c r="H607" s="211"/>
      <c r="I607" s="211"/>
      <c r="J607" s="211"/>
      <c r="K607" s="211"/>
      <c r="L607" s="1010">
        <f>((('Inventário Físico'!E106*'Inventário Físico'!F106)*'Caracterização do sistema'!$I$35)/(365/7))</f>
        <v>26.370029095540758</v>
      </c>
      <c r="M607" s="1016"/>
      <c r="N607" s="1010">
        <f t="shared" si="56"/>
        <v>114.57777642012459</v>
      </c>
      <c r="O607" s="1016"/>
      <c r="P607" s="1010">
        <f t="shared" si="57"/>
        <v>1374.9333170414952</v>
      </c>
      <c r="Q607" s="1011"/>
    </row>
    <row r="608" spans="2:17" x14ac:dyDescent="0.25">
      <c r="B608" s="214"/>
      <c r="C608" s="211"/>
      <c r="D608" s="211" t="s">
        <v>504</v>
      </c>
      <c r="E608" s="211" t="str">
        <f>'Inventário Físico'!B107</f>
        <v>Comedouro creep feeding</v>
      </c>
      <c r="F608" s="211"/>
      <c r="G608" s="211"/>
      <c r="H608" s="211"/>
      <c r="I608" s="211"/>
      <c r="J608" s="211"/>
      <c r="K608" s="211"/>
      <c r="L608" s="1010">
        <f>((('Inventário Físico'!E107*'Inventário Físico'!F107)*'Caracterização do sistema'!$I$35)/(365/7))</f>
        <v>61.835241817659615</v>
      </c>
      <c r="M608" s="1016"/>
      <c r="N608" s="1010">
        <f t="shared" si="56"/>
        <v>268.67412569773103</v>
      </c>
      <c r="O608" s="1016"/>
      <c r="P608" s="1010">
        <f t="shared" si="57"/>
        <v>3224.0895083727723</v>
      </c>
      <c r="Q608" s="1011"/>
    </row>
    <row r="609" spans="2:17" x14ac:dyDescent="0.25">
      <c r="B609" s="214"/>
      <c r="C609" s="211"/>
      <c r="D609" s="211" t="s">
        <v>505</v>
      </c>
      <c r="E609" s="211" t="str">
        <f>'Inventário Físico'!B108</f>
        <v xml:space="preserve">Euipamento corte de cauda </v>
      </c>
      <c r="F609" s="211"/>
      <c r="G609" s="211"/>
      <c r="H609" s="211"/>
      <c r="I609" s="211"/>
      <c r="J609" s="211"/>
      <c r="K609" s="211"/>
      <c r="L609" s="1010">
        <f>((('Inventário Físico'!E108*'Inventário Físico'!F108)*'Caracterização do sistema'!$I$35)/(365/7))</f>
        <v>5.1040547945205477</v>
      </c>
      <c r="M609" s="1016"/>
      <c r="N609" s="1010">
        <f t="shared" si="56"/>
        <v>22.177118082191779</v>
      </c>
      <c r="O609" s="1016"/>
      <c r="P609" s="1010">
        <f t="shared" si="57"/>
        <v>266.12541698630133</v>
      </c>
      <c r="Q609" s="1011"/>
    </row>
    <row r="610" spans="2:17" ht="31.5" customHeight="1" x14ac:dyDescent="0.25">
      <c r="B610" s="214"/>
      <c r="C610" s="211"/>
      <c r="D610" s="211" t="s">
        <v>506</v>
      </c>
      <c r="E610" s="211" t="str">
        <f>'Inventário Físico'!B109</f>
        <v>Desbastador de dentes</v>
      </c>
      <c r="F610" s="211"/>
      <c r="G610" s="211"/>
      <c r="H610" s="211"/>
      <c r="I610" s="211"/>
      <c r="J610" s="211"/>
      <c r="K610" s="211"/>
      <c r="L610" s="1010">
        <f>((('Inventário Físico'!E109*'Inventário Físico'!F109)*'Caracterização do sistema'!$I$35)/(365/7))</f>
        <v>6.1149315068493149</v>
      </c>
      <c r="M610" s="1016"/>
      <c r="N610" s="1010">
        <f t="shared" si="56"/>
        <v>26.569377397260272</v>
      </c>
      <c r="O610" s="1016"/>
      <c r="P610" s="1010">
        <f t="shared" si="57"/>
        <v>318.83252876712328</v>
      </c>
      <c r="Q610" s="1011"/>
    </row>
    <row r="611" spans="2:17" x14ac:dyDescent="0.25">
      <c r="B611" s="214"/>
      <c r="C611" s="211"/>
      <c r="D611" s="211" t="s">
        <v>507</v>
      </c>
      <c r="E611" s="211" t="str">
        <f>'Inventário Físico'!B110</f>
        <v xml:space="preserve">Aplicador de vacinas </v>
      </c>
      <c r="F611" s="211"/>
      <c r="G611" s="211"/>
      <c r="H611" s="211"/>
      <c r="I611" s="211"/>
      <c r="J611" s="211"/>
      <c r="K611" s="211"/>
      <c r="L611" s="1010">
        <f>((('Inventário Físico'!E110*'Inventário Físico'!F110)*'Caracterização do sistema'!$I$35)/(365/7))</f>
        <v>1.6378082191780823</v>
      </c>
      <c r="M611" s="1016"/>
      <c r="N611" s="1010">
        <f t="shared" si="56"/>
        <v>7.1162767123287667</v>
      </c>
      <c r="O611" s="1016"/>
      <c r="P611" s="1010">
        <f t="shared" si="57"/>
        <v>85.395320547945204</v>
      </c>
      <c r="Q611" s="1011"/>
    </row>
    <row r="612" spans="2:17" x14ac:dyDescent="0.25">
      <c r="B612" s="214"/>
      <c r="C612" s="211"/>
      <c r="D612" s="211" t="s">
        <v>508</v>
      </c>
      <c r="E612" s="211" t="str">
        <f>'Inventário Físico'!B111</f>
        <v xml:space="preserve">Carrinho para alimentação </v>
      </c>
      <c r="F612" s="211"/>
      <c r="G612" s="211"/>
      <c r="H612" s="211"/>
      <c r="I612" s="211"/>
      <c r="J612" s="211"/>
      <c r="K612" s="211"/>
      <c r="L612" s="1010">
        <f>((('Inventário Físico'!E111*'Inventário Físico'!F111)*'Caracterização do sistema'!$I$35)/(365/7))</f>
        <v>1.9782191780821918</v>
      </c>
      <c r="M612" s="1016"/>
      <c r="N612" s="1010">
        <f t="shared" si="56"/>
        <v>8.5953623287671235</v>
      </c>
      <c r="O612" s="1016"/>
      <c r="P612" s="1010">
        <f t="shared" si="57"/>
        <v>103.14434794520548</v>
      </c>
      <c r="Q612" s="1011"/>
    </row>
    <row r="613" spans="2:17" x14ac:dyDescent="0.25">
      <c r="B613" s="214"/>
      <c r="C613" s="211"/>
      <c r="D613" s="211" t="s">
        <v>509</v>
      </c>
      <c r="E613" s="211" t="str">
        <f>'Inventário Físico'!B112</f>
        <v>Conchas</v>
      </c>
      <c r="F613" s="211"/>
      <c r="G613" s="211"/>
      <c r="H613" s="211"/>
      <c r="I613" s="211"/>
      <c r="J613" s="211"/>
      <c r="K613" s="211"/>
      <c r="L613" s="1010">
        <f>((('Inventário Físico'!E112*'Inventário Físico'!F112)*'Caracterização do sistema'!$I$35)/(365/7))</f>
        <v>0.5791780821917808</v>
      </c>
      <c r="M613" s="1016"/>
      <c r="N613" s="1010">
        <f t="shared" si="56"/>
        <v>2.5165287671232872</v>
      </c>
      <c r="O613" s="1016"/>
      <c r="P613" s="1010">
        <f t="shared" si="57"/>
        <v>30.198345205479448</v>
      </c>
      <c r="Q613" s="1011"/>
    </row>
    <row r="614" spans="2:17" x14ac:dyDescent="0.25">
      <c r="B614" s="214"/>
      <c r="C614" s="211"/>
      <c r="D614" s="211" t="s">
        <v>510</v>
      </c>
      <c r="E614" s="211" t="str">
        <f>'Inventário Físico'!B113</f>
        <v xml:space="preserve">Balança </v>
      </c>
      <c r="F614" s="211"/>
      <c r="G614" s="211"/>
      <c r="H614" s="211"/>
      <c r="I614" s="211"/>
      <c r="J614" s="211"/>
      <c r="K614" s="211"/>
      <c r="L614" s="1010">
        <f>((('Inventário Físico'!E113*'Inventário Físico'!F113)*'Caracterização do sistema'!$I$35)/(365/7))</f>
        <v>114.49315068493151</v>
      </c>
      <c r="M614" s="1016"/>
      <c r="N614" s="1010">
        <f t="shared" si="56"/>
        <v>497.47273972602738</v>
      </c>
      <c r="O614" s="1016"/>
      <c r="P614" s="1010">
        <f t="shared" si="57"/>
        <v>5969.6728767123286</v>
      </c>
      <c r="Q614" s="1011"/>
    </row>
    <row r="615" spans="2:17" x14ac:dyDescent="0.25">
      <c r="B615" s="214"/>
      <c r="C615" s="211"/>
      <c r="D615" s="211" t="s">
        <v>511</v>
      </c>
      <c r="E615" s="211" t="str">
        <f>'Inventário Físico'!B114</f>
        <v>Geladeira (vacinas)</v>
      </c>
      <c r="F615" s="211"/>
      <c r="G615" s="211"/>
      <c r="H615" s="211"/>
      <c r="I615" s="211"/>
      <c r="J615" s="211"/>
      <c r="K615" s="211"/>
      <c r="L615" s="1010">
        <f>((('Inventário Físico'!E114*'Inventário Físico'!F114)*'Caracterização do sistema'!$I$35)/(365/7))</f>
        <v>8.8218794520547945</v>
      </c>
      <c r="M615" s="1016"/>
      <c r="N615" s="1010">
        <f t="shared" si="56"/>
        <v>38.331066219178076</v>
      </c>
      <c r="O615" s="1016"/>
      <c r="P615" s="1010">
        <f t="shared" si="57"/>
        <v>459.97279463013695</v>
      </c>
      <c r="Q615" s="1011"/>
    </row>
    <row r="616" spans="2:17" x14ac:dyDescent="0.25">
      <c r="B616" s="214"/>
      <c r="C616" s="211"/>
      <c r="D616" s="211" t="s">
        <v>512</v>
      </c>
      <c r="E616" s="211" t="str">
        <f>'Inventário Físico'!B115</f>
        <v xml:space="preserve">Ventiladores </v>
      </c>
      <c r="F616" s="211"/>
      <c r="G616" s="211"/>
      <c r="H616" s="211"/>
      <c r="I616" s="211"/>
      <c r="J616" s="211"/>
      <c r="K616" s="211"/>
      <c r="L616" s="1010">
        <f>((('Inventário Físico'!E115*'Inventário Físico'!F115)*'Caracterização do sistema'!$I$35)/(365/7))</f>
        <v>64.706849315068496</v>
      </c>
      <c r="M616" s="1016"/>
      <c r="N616" s="1010">
        <f t="shared" si="56"/>
        <v>281.15126027397258</v>
      </c>
      <c r="O616" s="1016"/>
      <c r="P616" s="1010">
        <f t="shared" si="57"/>
        <v>3373.8151232876708</v>
      </c>
      <c r="Q616" s="1011"/>
    </row>
    <row r="617" spans="2:17" x14ac:dyDescent="0.25">
      <c r="B617" s="214"/>
      <c r="C617" s="211"/>
      <c r="D617" s="211" t="s">
        <v>513</v>
      </c>
      <c r="E617" s="211" t="str">
        <f>'Inventário Físico'!B116</f>
        <v xml:space="preserve">Cortina </v>
      </c>
      <c r="F617" s="211"/>
      <c r="G617" s="211"/>
      <c r="H617" s="211"/>
      <c r="I617" s="211"/>
      <c r="J617" s="211"/>
      <c r="K617" s="211"/>
      <c r="L617" s="1010">
        <f>((('Inventário Físico'!E116*'Inventário Físico'!F116)*'Caracterização do sistema'!$I$35)/(365/7))</f>
        <v>32.984189536999494</v>
      </c>
      <c r="M617" s="1016"/>
      <c r="N617" s="1010">
        <f t="shared" si="56"/>
        <v>143.31630353826279</v>
      </c>
      <c r="O617" s="1016"/>
      <c r="P617" s="1010">
        <f t="shared" si="57"/>
        <v>1719.7956424591534</v>
      </c>
      <c r="Q617" s="1011"/>
    </row>
    <row r="618" spans="2:17" x14ac:dyDescent="0.25">
      <c r="B618" s="214"/>
      <c r="C618" s="211"/>
      <c r="D618" s="211" t="s">
        <v>514</v>
      </c>
      <c r="E618" s="211" t="str">
        <f>'Inventário Físico'!B117</f>
        <v xml:space="preserve">Lâmpada instalações </v>
      </c>
      <c r="F618" s="211"/>
      <c r="G618" s="211"/>
      <c r="H618" s="211"/>
      <c r="I618" s="211"/>
      <c r="J618" s="211"/>
      <c r="K618" s="211"/>
      <c r="L618" s="1010">
        <f>((('Inventário Físico'!E117*'Inventário Físico'!F117)*'Caracterização do sistema'!$I$35)/(365/7))</f>
        <v>0.40657534246575344</v>
      </c>
      <c r="M618" s="1016"/>
      <c r="N618" s="1010">
        <f t="shared" si="56"/>
        <v>1.7665698630136986</v>
      </c>
      <c r="O618" s="1016"/>
      <c r="P618" s="1010">
        <f t="shared" si="57"/>
        <v>21.198838356164384</v>
      </c>
      <c r="Q618" s="1011"/>
    </row>
    <row r="619" spans="2:17" x14ac:dyDescent="0.25">
      <c r="B619" s="214"/>
      <c r="C619" s="211"/>
      <c r="D619" s="211" t="s">
        <v>515</v>
      </c>
      <c r="E619" s="211" t="str">
        <f>'Inventário Físico'!B118</f>
        <v xml:space="preserve">Termômetro </v>
      </c>
      <c r="F619" s="211"/>
      <c r="G619" s="211"/>
      <c r="H619" s="211"/>
      <c r="I619" s="211"/>
      <c r="J619" s="211"/>
      <c r="K619" s="211"/>
      <c r="L619" s="1010">
        <f>((('Inventário Físico'!E118*'Inventário Físico'!F118)*'Caracterização do sistema'!$I$35)/(365/7))</f>
        <v>1.1653561643835615</v>
      </c>
      <c r="M619" s="1016"/>
      <c r="N619" s="1010">
        <f t="shared" si="56"/>
        <v>5.0634725342465741</v>
      </c>
      <c r="O619" s="1016"/>
      <c r="P619" s="1010">
        <f t="shared" si="57"/>
        <v>60.761670410958885</v>
      </c>
      <c r="Q619" s="1011"/>
    </row>
    <row r="620" spans="2:17" x14ac:dyDescent="0.25">
      <c r="B620" s="214"/>
      <c r="C620" s="211"/>
      <c r="D620" s="211" t="s">
        <v>516</v>
      </c>
      <c r="E620" s="211" t="str">
        <f>'Inventário Físico'!B119</f>
        <v>Mangueira</v>
      </c>
      <c r="F620" s="211"/>
      <c r="G620" s="211"/>
      <c r="H620" s="211"/>
      <c r="I620" s="211"/>
      <c r="J620" s="211"/>
      <c r="K620" s="211"/>
      <c r="L620" s="1010">
        <f>((('Inventário Físico'!E119*'Inventário Físico'!F119)*'Caracterização do sistema'!$I$35)/(365/7))</f>
        <v>0.95794520547945206</v>
      </c>
      <c r="M620" s="1016"/>
      <c r="N620" s="1010">
        <f t="shared" si="56"/>
        <v>4.1622719178082193</v>
      </c>
      <c r="O620" s="1016"/>
      <c r="P620" s="1010">
        <f t="shared" si="57"/>
        <v>49.947263013698631</v>
      </c>
      <c r="Q620" s="1011"/>
    </row>
    <row r="621" spans="2:17" x14ac:dyDescent="0.25">
      <c r="B621" s="214"/>
      <c r="C621" s="211"/>
      <c r="D621" s="211" t="s">
        <v>517</v>
      </c>
      <c r="E621" s="211" t="str">
        <f>'Inventário Físico'!B120</f>
        <v>Equipamento 2</v>
      </c>
      <c r="F621" s="211"/>
      <c r="G621" s="211"/>
      <c r="H621" s="211"/>
      <c r="I621" s="211"/>
      <c r="J621" s="211"/>
      <c r="K621" s="211"/>
      <c r="L621" s="1010">
        <f>((('Inventário Físico'!E120*'Inventário Físico'!F120)*'Caracterização do sistema'!$I$35)/(365/7))</f>
        <v>0</v>
      </c>
      <c r="M621" s="1016"/>
      <c r="N621" s="1010">
        <f t="shared" si="56"/>
        <v>0</v>
      </c>
      <c r="O621" s="1016"/>
      <c r="P621" s="1010">
        <f t="shared" si="57"/>
        <v>0</v>
      </c>
      <c r="Q621" s="1011"/>
    </row>
    <row r="622" spans="2:17" x14ac:dyDescent="0.25">
      <c r="B622" s="214"/>
      <c r="C622" s="211"/>
      <c r="D622" s="211" t="s">
        <v>518</v>
      </c>
      <c r="E622" s="211" t="str">
        <f>'Inventário Físico'!B121</f>
        <v>Equipamento 3</v>
      </c>
      <c r="F622" s="211"/>
      <c r="G622" s="211"/>
      <c r="H622" s="211"/>
      <c r="I622" s="211"/>
      <c r="J622" s="211"/>
      <c r="K622" s="211"/>
      <c r="L622" s="1010">
        <f>((('Inventário Físico'!E121*'Inventário Físico'!F121)*'Caracterização do sistema'!$I$35)/(365/7))</f>
        <v>0</v>
      </c>
      <c r="M622" s="1016"/>
      <c r="N622" s="1010">
        <f t="shared" si="56"/>
        <v>0</v>
      </c>
      <c r="O622" s="1016"/>
      <c r="P622" s="1010">
        <f t="shared" si="57"/>
        <v>0</v>
      </c>
      <c r="Q622" s="1011"/>
    </row>
    <row r="623" spans="2:17" ht="65.25" customHeight="1" x14ac:dyDescent="0.25">
      <c r="B623" s="1038" t="s">
        <v>558</v>
      </c>
      <c r="C623" s="1039"/>
      <c r="D623" s="1039"/>
      <c r="E623" s="1039"/>
      <c r="F623" s="1039"/>
      <c r="G623" s="1039"/>
      <c r="H623" s="1039"/>
      <c r="I623" s="1039"/>
      <c r="J623" s="1039"/>
      <c r="K623" s="1039"/>
      <c r="L623" s="998">
        <f>SUM(L603:M622)</f>
        <v>2993.8017719897657</v>
      </c>
      <c r="M623" s="999"/>
      <c r="N623" s="998">
        <f>SUM(N603:O622)</f>
        <v>13008.068699295531</v>
      </c>
      <c r="O623" s="999"/>
      <c r="P623" s="998">
        <f>SUM(P603:Q622)</f>
        <v>156096.82439154631</v>
      </c>
      <c r="Q623" s="1027"/>
    </row>
    <row r="624" spans="2:17" x14ac:dyDescent="0.25">
      <c r="B624" s="215"/>
      <c r="C624" s="216"/>
      <c r="D624" s="216" t="s">
        <v>519</v>
      </c>
      <c r="E624" s="216" t="str">
        <f>'Inventário Físico'!B123</f>
        <v xml:space="preserve">Piso de plástico </v>
      </c>
      <c r="F624" s="216"/>
      <c r="G624" s="216"/>
      <c r="H624" s="216"/>
      <c r="I624" s="216"/>
      <c r="J624" s="216"/>
      <c r="K624" s="216"/>
      <c r="L624" s="1007">
        <f>((('Inventário Físico'!E123*'Inventário Físico'!F123)*'Caracterização do sistema'!$I$35)/(365/7))</f>
        <v>838.28181437469266</v>
      </c>
      <c r="M624" s="1018"/>
      <c r="N624" s="1007">
        <f t="shared" ref="N624:N633" si="58">L624*4.345</f>
        <v>3642.3344834580394</v>
      </c>
      <c r="O624" s="1018"/>
      <c r="P624" s="1007">
        <f>N624*12</f>
        <v>43708.013801496476</v>
      </c>
      <c r="Q624" s="1008"/>
    </row>
    <row r="625" spans="2:17" x14ac:dyDescent="0.25">
      <c r="B625" s="215"/>
      <c r="C625" s="216"/>
      <c r="D625" s="216" t="s">
        <v>520</v>
      </c>
      <c r="E625" s="216" t="str">
        <f>'Inventário Físico'!B124</f>
        <v>Comedouro</v>
      </c>
      <c r="F625" s="216"/>
      <c r="G625" s="216"/>
      <c r="H625" s="216"/>
      <c r="I625" s="216"/>
      <c r="J625" s="216"/>
      <c r="K625" s="216"/>
      <c r="L625" s="1007">
        <f>((('Inventário Físico'!E124*'Inventário Físico'!F124)*'Caracterização do sistema'!$I$35)/(365/7))</f>
        <v>145.96187123287672</v>
      </c>
      <c r="M625" s="1018"/>
      <c r="N625" s="1007">
        <f t="shared" si="58"/>
        <v>634.20433050684926</v>
      </c>
      <c r="O625" s="1018"/>
      <c r="P625" s="1007">
        <f t="shared" ref="P625:P633" si="59">N625*12</f>
        <v>7610.4519660821916</v>
      </c>
      <c r="Q625" s="1008"/>
    </row>
    <row r="626" spans="2:17" x14ac:dyDescent="0.25">
      <c r="B626" s="215"/>
      <c r="C626" s="216"/>
      <c r="D626" s="216" t="s">
        <v>521</v>
      </c>
      <c r="E626" s="216" t="str">
        <f>'Inventário Físico'!B125</f>
        <v xml:space="preserve">Bebedouro </v>
      </c>
      <c r="F626" s="216"/>
      <c r="G626" s="216"/>
      <c r="H626" s="216"/>
      <c r="I626" s="216"/>
      <c r="J626" s="216"/>
      <c r="K626" s="216"/>
      <c r="L626" s="1007">
        <f>((('Inventário Físico'!E125*'Inventário Físico'!F125)*'Caracterização do sistema'!$I$35)/(365/7))</f>
        <v>40.049989375257539</v>
      </c>
      <c r="M626" s="1018"/>
      <c r="N626" s="1007">
        <f t="shared" si="58"/>
        <v>174.017203835494</v>
      </c>
      <c r="O626" s="1018"/>
      <c r="P626" s="1007">
        <f t="shared" si="59"/>
        <v>2088.206446025928</v>
      </c>
      <c r="Q626" s="1008"/>
    </row>
    <row r="627" spans="2:17" x14ac:dyDescent="0.25">
      <c r="B627" s="215"/>
      <c r="C627" s="216"/>
      <c r="D627" s="216" t="s">
        <v>522</v>
      </c>
      <c r="E627" s="216" t="str">
        <f>'Inventário Físico'!B126</f>
        <v xml:space="preserve">Lâmpada de aquecimento para leitões </v>
      </c>
      <c r="F627" s="216"/>
      <c r="G627" s="216"/>
      <c r="H627" s="216"/>
      <c r="I627" s="216"/>
      <c r="J627" s="216"/>
      <c r="K627" s="216"/>
      <c r="L627" s="1007">
        <f>((('Inventário Físico'!E126*'Inventário Físico'!F126)*'Caracterização do sistema'!$I$35)/(365/7))</f>
        <v>1.415227397260274</v>
      </c>
      <c r="M627" s="1018"/>
      <c r="N627" s="1007">
        <f t="shared" si="58"/>
        <v>6.14916304109589</v>
      </c>
      <c r="O627" s="1018"/>
      <c r="P627" s="1007">
        <f t="shared" si="59"/>
        <v>73.789956493150683</v>
      </c>
      <c r="Q627" s="1008"/>
    </row>
    <row r="628" spans="2:17" x14ac:dyDescent="0.25">
      <c r="B628" s="215"/>
      <c r="C628" s="216"/>
      <c r="D628" s="216" t="s">
        <v>523</v>
      </c>
      <c r="E628" s="216" t="str">
        <f>'Inventário Físico'!B127</f>
        <v xml:space="preserve">Cortina </v>
      </c>
      <c r="F628" s="216"/>
      <c r="G628" s="216"/>
      <c r="H628" s="216"/>
      <c r="I628" s="216"/>
      <c r="J628" s="216"/>
      <c r="K628" s="216"/>
      <c r="L628" s="1007">
        <f>((('Inventário Físico'!E127*'Inventário Físico'!F127*'Caracterização do sistema'!$I$35)/(365/7)))</f>
        <v>50.03174063710491</v>
      </c>
      <c r="M628" s="1018"/>
      <c r="N628" s="1007">
        <f t="shared" si="58"/>
        <v>217.38791306822083</v>
      </c>
      <c r="O628" s="1018"/>
      <c r="P628" s="1007">
        <f t="shared" si="59"/>
        <v>2608.6549568186501</v>
      </c>
      <c r="Q628" s="1008"/>
    </row>
    <row r="629" spans="2:17" x14ac:dyDescent="0.25">
      <c r="B629" s="215"/>
      <c r="C629" s="216"/>
      <c r="D629" s="216" t="s">
        <v>524</v>
      </c>
      <c r="E629" s="216" t="str">
        <f>'Inventário Físico'!B128</f>
        <v xml:space="preserve">Lâmpada instalações </v>
      </c>
      <c r="F629" s="216"/>
      <c r="G629" s="216"/>
      <c r="H629" s="216"/>
      <c r="I629" s="216"/>
      <c r="J629" s="216"/>
      <c r="K629" s="216"/>
      <c r="L629" s="1007">
        <f>((('Inventário Físico'!E128*'Inventário Físico'!F128)*'Caracterização do sistema'!$I$35)/(365/7))</f>
        <v>0.5692054794520548</v>
      </c>
      <c r="M629" s="1018"/>
      <c r="N629" s="1007">
        <f t="shared" si="58"/>
        <v>2.4731978082191781</v>
      </c>
      <c r="O629" s="1018"/>
      <c r="P629" s="1007">
        <f t="shared" si="59"/>
        <v>29.678373698630139</v>
      </c>
      <c r="Q629" s="1008"/>
    </row>
    <row r="630" spans="2:17" x14ac:dyDescent="0.25">
      <c r="B630" s="215"/>
      <c r="C630" s="216"/>
      <c r="D630" s="216" t="s">
        <v>525</v>
      </c>
      <c r="E630" s="216" t="str">
        <f>'Inventário Físico'!B129</f>
        <v xml:space="preserve">Termômetro </v>
      </c>
      <c r="F630" s="216"/>
      <c r="G630" s="216"/>
      <c r="H630" s="216"/>
      <c r="I630" s="216"/>
      <c r="J630" s="216"/>
      <c r="K630" s="216"/>
      <c r="L630" s="1007">
        <f>((('Inventário Físico'!E129*'Inventário Físico'!F129)*'Caracterização do sistema'!$I$35)/(365/7))</f>
        <v>1.6314986301369865</v>
      </c>
      <c r="M630" s="1018"/>
      <c r="N630" s="1007">
        <f t="shared" si="58"/>
        <v>7.0888615479452062</v>
      </c>
      <c r="O630" s="1018"/>
      <c r="P630" s="1007">
        <f t="shared" si="59"/>
        <v>85.066338575342471</v>
      </c>
      <c r="Q630" s="1008"/>
    </row>
    <row r="631" spans="2:17" x14ac:dyDescent="0.25">
      <c r="B631" s="215"/>
      <c r="C631" s="216"/>
      <c r="D631" s="216" t="s">
        <v>526</v>
      </c>
      <c r="E631" s="216" t="str">
        <f>'Inventário Físico'!B130</f>
        <v>Mangueira</v>
      </c>
      <c r="F631" s="216"/>
      <c r="G631" s="216"/>
      <c r="H631" s="216"/>
      <c r="I631" s="216"/>
      <c r="J631" s="216"/>
      <c r="K631" s="216"/>
      <c r="L631" s="1007">
        <f>((('Inventário Físico'!E130*'Inventário Físico'!F130)*'Caracterização do sistema'!$I$35)/(365/7))</f>
        <v>1.3411232876712329</v>
      </c>
      <c r="M631" s="1018"/>
      <c r="N631" s="1007">
        <f t="shared" si="58"/>
        <v>5.8271806849315064</v>
      </c>
      <c r="O631" s="1018"/>
      <c r="P631" s="1007">
        <f t="shared" si="59"/>
        <v>69.926168219178081</v>
      </c>
      <c r="Q631" s="1008"/>
    </row>
    <row r="632" spans="2:17" x14ac:dyDescent="0.25">
      <c r="B632" s="215"/>
      <c r="C632" s="216"/>
      <c r="D632" s="216" t="s">
        <v>527</v>
      </c>
      <c r="E632" s="216" t="str">
        <f>'Inventário Físico'!B131</f>
        <v>Equipamento 2</v>
      </c>
      <c r="F632" s="216"/>
      <c r="G632" s="216"/>
      <c r="H632" s="216"/>
      <c r="I632" s="216"/>
      <c r="J632" s="216"/>
      <c r="K632" s="216"/>
      <c r="L632" s="1007">
        <f>((('Inventário Físico'!E131*'Inventário Físico'!F131)*'Caracterização do sistema'!$I$35)/(365/7))</f>
        <v>0</v>
      </c>
      <c r="M632" s="1018"/>
      <c r="N632" s="1007">
        <f t="shared" si="58"/>
        <v>0</v>
      </c>
      <c r="O632" s="1018"/>
      <c r="P632" s="1007">
        <f t="shared" si="59"/>
        <v>0</v>
      </c>
      <c r="Q632" s="1008"/>
    </row>
    <row r="633" spans="2:17" x14ac:dyDescent="0.25">
      <c r="B633" s="215"/>
      <c r="C633" s="216"/>
      <c r="D633" s="216" t="s">
        <v>528</v>
      </c>
      <c r="E633" s="216" t="str">
        <f>'Inventário Físico'!B132</f>
        <v>Equipamento 3</v>
      </c>
      <c r="F633" s="216"/>
      <c r="G633" s="216"/>
      <c r="H633" s="216"/>
      <c r="I633" s="216"/>
      <c r="J633" s="216"/>
      <c r="K633" s="216"/>
      <c r="L633" s="1007">
        <f>((('Inventário Físico'!E132*'Inventário Físico'!F132)*'Caracterização do sistema'!$I$35)/(365/7))</f>
        <v>0</v>
      </c>
      <c r="M633" s="1018"/>
      <c r="N633" s="1007">
        <f t="shared" si="58"/>
        <v>0</v>
      </c>
      <c r="O633" s="1018"/>
      <c r="P633" s="1007">
        <f t="shared" si="59"/>
        <v>0</v>
      </c>
      <c r="Q633" s="1008"/>
    </row>
    <row r="634" spans="2:17" x14ac:dyDescent="0.25">
      <c r="B634" s="1040" t="s">
        <v>557</v>
      </c>
      <c r="C634" s="1041"/>
      <c r="D634" s="1041"/>
      <c r="E634" s="1041"/>
      <c r="F634" s="1041"/>
      <c r="G634" s="1041"/>
      <c r="H634" s="1041"/>
      <c r="I634" s="1041"/>
      <c r="J634" s="1041"/>
      <c r="K634" s="1041"/>
      <c r="L634" s="1024">
        <f>SUM(L624:M633)</f>
        <v>1079.2824704144523</v>
      </c>
      <c r="M634" s="1025"/>
      <c r="N634" s="1024">
        <f>SUM(N624:O633)</f>
        <v>4689.4823339507948</v>
      </c>
      <c r="O634" s="1025"/>
      <c r="P634" s="1024">
        <f>SUM(P624:Q633)</f>
        <v>56273.788007409552</v>
      </c>
      <c r="Q634" s="1026"/>
    </row>
    <row r="635" spans="2:17" x14ac:dyDescent="0.25">
      <c r="B635" s="219"/>
      <c r="C635" s="220"/>
      <c r="D635" s="299" t="s">
        <v>529</v>
      </c>
      <c r="E635" s="220" t="str">
        <f>'Inventário Físico'!B134</f>
        <v xml:space="preserve">Alimetador automático </v>
      </c>
      <c r="F635" s="220"/>
      <c r="G635" s="220"/>
      <c r="H635" s="220"/>
      <c r="I635" s="220"/>
      <c r="J635" s="220"/>
      <c r="K635" s="220"/>
      <c r="L635" s="987">
        <f>((('Inventário Físico'!E134*'Inventário Físico'!F134)*'Caracterização do sistema'!$I$35)/(365/7))</f>
        <v>291.92374246575343</v>
      </c>
      <c r="M635" s="1017"/>
      <c r="N635" s="987">
        <f t="shared" ref="N635:N643" si="60">L635*4.345</f>
        <v>1268.4086610136985</v>
      </c>
      <c r="O635" s="1017"/>
      <c r="P635" s="987">
        <f>N635*12</f>
        <v>15220.903932164383</v>
      </c>
      <c r="Q635" s="988"/>
    </row>
    <row r="636" spans="2:17" x14ac:dyDescent="0.25">
      <c r="B636" s="219"/>
      <c r="C636" s="220"/>
      <c r="D636" s="299" t="s">
        <v>530</v>
      </c>
      <c r="E636" s="220" t="str">
        <f>'Inventário Físico'!B135</f>
        <v xml:space="preserve">Bebedouro </v>
      </c>
      <c r="F636" s="220"/>
      <c r="G636" s="220"/>
      <c r="H636" s="220"/>
      <c r="I636" s="220"/>
      <c r="J636" s="220"/>
      <c r="K636" s="220"/>
      <c r="L636" s="987">
        <f>((('Inventário Físico'!E135*'Inventário Físico'!F135)*'Caracterização do sistema'!$I$35)/(365/7))</f>
        <v>40.049989375257539</v>
      </c>
      <c r="M636" s="1017"/>
      <c r="N636" s="987">
        <f t="shared" si="60"/>
        <v>174.017203835494</v>
      </c>
      <c r="O636" s="1017"/>
      <c r="P636" s="987">
        <f t="shared" ref="P636:P643" si="61">N636*12</f>
        <v>2088.206446025928</v>
      </c>
      <c r="Q636" s="988"/>
    </row>
    <row r="637" spans="2:17" x14ac:dyDescent="0.25">
      <c r="B637" s="219"/>
      <c r="C637" s="220"/>
      <c r="D637" s="299" t="s">
        <v>715</v>
      </c>
      <c r="E637" s="220" t="str">
        <f>'Inventário Físico'!B136</f>
        <v xml:space="preserve">Ventiladores </v>
      </c>
      <c r="F637" s="220"/>
      <c r="G637" s="220"/>
      <c r="H637" s="220"/>
      <c r="I637" s="220"/>
      <c r="J637" s="220"/>
      <c r="K637" s="220"/>
      <c r="L637" s="987">
        <f>((('Inventário Físico'!E136*'Inventário Físico'!F136)*'Caracterização do sistema'!$I$35)/(365/7))</f>
        <v>181.17917808219178</v>
      </c>
      <c r="M637" s="1017"/>
      <c r="N637" s="987">
        <f t="shared" si="60"/>
        <v>787.2235287671233</v>
      </c>
      <c r="O637" s="1017"/>
      <c r="P637" s="987">
        <f t="shared" si="61"/>
        <v>9446.6823452054796</v>
      </c>
      <c r="Q637" s="988"/>
    </row>
    <row r="638" spans="2:17" x14ac:dyDescent="0.25">
      <c r="B638" s="219"/>
      <c r="C638" s="220"/>
      <c r="D638" s="299" t="s">
        <v>716</v>
      </c>
      <c r="E638" s="220" t="str">
        <f>'Inventário Físico'!B137</f>
        <v xml:space="preserve">Cortina </v>
      </c>
      <c r="F638" s="220"/>
      <c r="G638" s="220"/>
      <c r="H638" s="220"/>
      <c r="I638" s="220"/>
      <c r="J638" s="220"/>
      <c r="K638" s="220"/>
      <c r="L638" s="987">
        <f>((('Inventário Físico'!E137*'Inventário Físico'!F137)*'Caracterização do sistema'!$I$35)/(365/7))</f>
        <v>304.85812808031858</v>
      </c>
      <c r="M638" s="1017"/>
      <c r="N638" s="987">
        <f t="shared" si="60"/>
        <v>1324.608566508984</v>
      </c>
      <c r="O638" s="1017"/>
      <c r="P638" s="987">
        <f t="shared" si="61"/>
        <v>15895.302798107808</v>
      </c>
      <c r="Q638" s="988"/>
    </row>
    <row r="639" spans="2:17" x14ac:dyDescent="0.25">
      <c r="B639" s="219"/>
      <c r="C639" s="220"/>
      <c r="D639" s="299" t="s">
        <v>717</v>
      </c>
      <c r="E639" s="220" t="str">
        <f>'Inventário Físico'!B138</f>
        <v xml:space="preserve">Lâmpadas instalação </v>
      </c>
      <c r="F639" s="220"/>
      <c r="G639" s="220"/>
      <c r="H639" s="220"/>
      <c r="I639" s="220"/>
      <c r="J639" s="220"/>
      <c r="K639" s="220"/>
      <c r="L639" s="987">
        <f>((('Inventário Físico'!E138*'Inventário Físico'!F138)*'Caracterização do sistema'!$I$35)/(365/7))</f>
        <v>0.5692054794520548</v>
      </c>
      <c r="M639" s="1017"/>
      <c r="N639" s="987">
        <f t="shared" si="60"/>
        <v>2.4731978082191781</v>
      </c>
      <c r="O639" s="1017"/>
      <c r="P639" s="987">
        <f t="shared" si="61"/>
        <v>29.678373698630139</v>
      </c>
      <c r="Q639" s="988"/>
    </row>
    <row r="640" spans="2:17" x14ac:dyDescent="0.25">
      <c r="B640" s="219"/>
      <c r="C640" s="220"/>
      <c r="D640" s="299" t="s">
        <v>718</v>
      </c>
      <c r="E640" s="220" t="str">
        <f>'Inventário Físico'!B139</f>
        <v xml:space="preserve">Termômetro </v>
      </c>
      <c r="F640" s="220"/>
      <c r="G640" s="220"/>
      <c r="H640" s="220"/>
      <c r="I640" s="220"/>
      <c r="J640" s="220"/>
      <c r="K640" s="220"/>
      <c r="L640" s="987">
        <f>((('Inventário Físico'!E139*'Inventário Físico'!F139)*'Caracterização do sistema'!$I$35)/(365/7))</f>
        <v>3.262997260273973</v>
      </c>
      <c r="M640" s="1017"/>
      <c r="N640" s="987">
        <f t="shared" si="60"/>
        <v>14.177723095890412</v>
      </c>
      <c r="O640" s="1017"/>
      <c r="P640" s="987">
        <f t="shared" si="61"/>
        <v>170.13267715068494</v>
      </c>
      <c r="Q640" s="988"/>
    </row>
    <row r="641" spans="2:17" x14ac:dyDescent="0.25">
      <c r="B641" s="219"/>
      <c r="C641" s="220"/>
      <c r="D641" s="299" t="s">
        <v>719</v>
      </c>
      <c r="E641" s="220" t="str">
        <f>'Inventário Físico'!B140</f>
        <v>Mangueira</v>
      </c>
      <c r="F641" s="220"/>
      <c r="G641" s="220"/>
      <c r="H641" s="220"/>
      <c r="I641" s="220"/>
      <c r="J641" s="220"/>
      <c r="K641" s="220"/>
      <c r="L641" s="987">
        <f>((('Inventário Físico'!E140*'Inventário Físico'!F140)*'Caracterização do sistema'!$I$35)/(365/7))</f>
        <v>2.6822465753424658</v>
      </c>
      <c r="M641" s="1017"/>
      <c r="N641" s="987">
        <f t="shared" si="60"/>
        <v>11.654361369863013</v>
      </c>
      <c r="O641" s="1017"/>
      <c r="P641" s="987">
        <f t="shared" si="61"/>
        <v>139.85233643835616</v>
      </c>
      <c r="Q641" s="988"/>
    </row>
    <row r="642" spans="2:17" ht="31.5" customHeight="1" x14ac:dyDescent="0.25">
      <c r="B642" s="219"/>
      <c r="C642" s="220"/>
      <c r="D642" s="299" t="s">
        <v>720</v>
      </c>
      <c r="E642" s="220" t="str">
        <f>'Inventário Físico'!B141</f>
        <v>xEquipamento 2</v>
      </c>
      <c r="F642" s="220"/>
      <c r="G642" s="220"/>
      <c r="H642" s="220"/>
      <c r="I642" s="220"/>
      <c r="J642" s="220"/>
      <c r="K642" s="220"/>
      <c r="L642" s="987">
        <f>((('Inventário Físico'!E141*'Inventário Físico'!F141)*'Caracterização do sistema'!$I$35)/(365/7))</f>
        <v>0</v>
      </c>
      <c r="M642" s="1017"/>
      <c r="N642" s="987">
        <f t="shared" si="60"/>
        <v>0</v>
      </c>
      <c r="O642" s="1017"/>
      <c r="P642" s="987">
        <f t="shared" si="61"/>
        <v>0</v>
      </c>
      <c r="Q642" s="988"/>
    </row>
    <row r="643" spans="2:17" x14ac:dyDescent="0.25">
      <c r="B643" s="219"/>
      <c r="C643" s="220"/>
      <c r="D643" s="299" t="s">
        <v>721</v>
      </c>
      <c r="E643" s="220" t="str">
        <f>'Inventário Físico'!B142</f>
        <v>Equipamento 3</v>
      </c>
      <c r="F643" s="220"/>
      <c r="G643" s="220"/>
      <c r="H643" s="220"/>
      <c r="I643" s="220"/>
      <c r="J643" s="220"/>
      <c r="K643" s="220"/>
      <c r="L643" s="987">
        <f>((('Inventário Físico'!E142*'Inventário Físico'!F142)*'Caracterização do sistema'!$I$35)/(365/7))</f>
        <v>0</v>
      </c>
      <c r="M643" s="1017"/>
      <c r="N643" s="987">
        <f t="shared" si="60"/>
        <v>0</v>
      </c>
      <c r="O643" s="1017"/>
      <c r="P643" s="987">
        <f t="shared" si="61"/>
        <v>0</v>
      </c>
      <c r="Q643" s="988"/>
    </row>
    <row r="644" spans="2:17" x14ac:dyDescent="0.25">
      <c r="B644" s="1030" t="s">
        <v>556</v>
      </c>
      <c r="C644" s="1031"/>
      <c r="D644" s="1031"/>
      <c r="E644" s="1031"/>
      <c r="F644" s="1031"/>
      <c r="G644" s="1031"/>
      <c r="H644" s="1031"/>
      <c r="I644" s="1031"/>
      <c r="J644" s="1031"/>
      <c r="K644" s="1031"/>
      <c r="L644" s="1021">
        <f>SUM(L635:M643)</f>
        <v>824.52548731858985</v>
      </c>
      <c r="M644" s="1022"/>
      <c r="N644" s="1021">
        <f>SUM(N635:O643)</f>
        <v>3582.5632423992729</v>
      </c>
      <c r="O644" s="1022"/>
      <c r="P644" s="1021">
        <f>SUM(P635:Q643)</f>
        <v>42990.758908791271</v>
      </c>
      <c r="Q644" s="1023"/>
    </row>
    <row r="645" spans="2:17" x14ac:dyDescent="0.25">
      <c r="B645" s="263"/>
      <c r="C645" s="264"/>
      <c r="D645" s="264"/>
      <c r="E645" s="271" t="str">
        <f>'Inventário Físico'!B143</f>
        <v xml:space="preserve">ESCRITÓRIO </v>
      </c>
      <c r="F645" s="264"/>
      <c r="G645" s="264"/>
      <c r="H645" s="264"/>
      <c r="I645" s="264"/>
      <c r="J645" s="264"/>
      <c r="K645" s="264"/>
      <c r="L645" s="989"/>
      <c r="M645" s="991"/>
      <c r="N645" s="989"/>
      <c r="O645" s="991"/>
      <c r="P645" s="1009"/>
      <c r="Q645" s="990"/>
    </row>
    <row r="646" spans="2:17" x14ac:dyDescent="0.25">
      <c r="B646" s="263"/>
      <c r="C646" s="264"/>
      <c r="D646" s="301">
        <v>2107</v>
      </c>
      <c r="E646" s="264" t="str">
        <f>'Inventário Físico'!B144</f>
        <v>Mesa</v>
      </c>
      <c r="F646" s="264"/>
      <c r="G646" s="264"/>
      <c r="H646" s="264"/>
      <c r="I646" s="264"/>
      <c r="J646" s="264"/>
      <c r="K646" s="264"/>
      <c r="L646" s="989">
        <f>((('Inventário Físico'!E144*'Inventário Físico'!F144)*'Caracterização do sistema'!$I$35)/(365/7))</f>
        <v>4.268082191780822</v>
      </c>
      <c r="M646" s="991"/>
      <c r="N646" s="989">
        <f t="shared" ref="N646:N655" si="62">L646*4.345</f>
        <v>18.544817123287672</v>
      </c>
      <c r="O646" s="991"/>
      <c r="P646" s="989">
        <f>N646*12</f>
        <v>222.53780547945206</v>
      </c>
      <c r="Q646" s="990"/>
    </row>
    <row r="647" spans="2:17" x14ac:dyDescent="0.25">
      <c r="B647" s="263"/>
      <c r="C647" s="264"/>
      <c r="D647" s="300" t="s">
        <v>722</v>
      </c>
      <c r="E647" s="264" t="str">
        <f>'Inventário Físico'!B145</f>
        <v xml:space="preserve">Cadeira </v>
      </c>
      <c r="F647" s="264"/>
      <c r="G647" s="264"/>
      <c r="H647" s="264"/>
      <c r="I647" s="264"/>
      <c r="J647" s="264"/>
      <c r="K647" s="264"/>
      <c r="L647" s="989">
        <f>((('Inventário Físico'!E145*'Inventário Físico'!F145)*'Caracterização do sistema'!$I$35)/(365/7))</f>
        <v>4.4090410958904105</v>
      </c>
      <c r="M647" s="991"/>
      <c r="N647" s="989">
        <f t="shared" si="62"/>
        <v>19.157283561643833</v>
      </c>
      <c r="O647" s="991"/>
      <c r="P647" s="989">
        <f t="shared" ref="P647:P655" si="63">N647*12</f>
        <v>229.88740273972599</v>
      </c>
      <c r="Q647" s="990"/>
    </row>
    <row r="648" spans="2:17" x14ac:dyDescent="0.25">
      <c r="B648" s="263"/>
      <c r="C648" s="264"/>
      <c r="D648" s="300" t="s">
        <v>723</v>
      </c>
      <c r="E648" s="264" t="str">
        <f>'Inventário Físico'!B146</f>
        <v xml:space="preserve">Computador </v>
      </c>
      <c r="F648" s="264"/>
      <c r="G648" s="264"/>
      <c r="H648" s="264"/>
      <c r="I648" s="264"/>
      <c r="J648" s="264"/>
      <c r="K648" s="264"/>
      <c r="L648" s="989">
        <f>((('Inventário Físico'!E146*'Inventário Físico'!F146)*'Caracterização do sistema'!$I$35)/(365/7))</f>
        <v>15.096372602739727</v>
      </c>
      <c r="M648" s="991"/>
      <c r="N648" s="989">
        <f t="shared" si="62"/>
        <v>65.593738958904112</v>
      </c>
      <c r="O648" s="991"/>
      <c r="P648" s="989">
        <f t="shared" si="63"/>
        <v>787.12486750684934</v>
      </c>
      <c r="Q648" s="990"/>
    </row>
    <row r="649" spans="2:17" x14ac:dyDescent="0.25">
      <c r="B649" s="263"/>
      <c r="C649" s="264"/>
      <c r="D649" s="300" t="s">
        <v>724</v>
      </c>
      <c r="E649" s="264" t="str">
        <f>'Inventário Físico'!B147</f>
        <v xml:space="preserve">Impressora </v>
      </c>
      <c r="F649" s="264"/>
      <c r="G649" s="264"/>
      <c r="H649" s="264"/>
      <c r="I649" s="264"/>
      <c r="J649" s="264"/>
      <c r="K649" s="264"/>
      <c r="L649" s="989">
        <f>((('Inventário Físico'!E147*'Inventário Físico'!F147)*'Caracterização do sistema'!$I$35)/(365/7))</f>
        <v>2.0909479452054796</v>
      </c>
      <c r="M649" s="991"/>
      <c r="N649" s="989">
        <f t="shared" si="62"/>
        <v>9.0851688219178079</v>
      </c>
      <c r="O649" s="991"/>
      <c r="P649" s="989">
        <f t="shared" si="63"/>
        <v>109.0220258630137</v>
      </c>
      <c r="Q649" s="990"/>
    </row>
    <row r="650" spans="2:17" x14ac:dyDescent="0.25">
      <c r="B650" s="263"/>
      <c r="C650" s="264"/>
      <c r="D650" s="300" t="s">
        <v>725</v>
      </c>
      <c r="E650" s="264" t="str">
        <f>'Inventário Físico'!B148</f>
        <v xml:space="preserve">Armário </v>
      </c>
      <c r="F650" s="264"/>
      <c r="G650" s="264"/>
      <c r="H650" s="264"/>
      <c r="I650" s="264"/>
      <c r="J650" s="264"/>
      <c r="K650" s="264"/>
      <c r="L650" s="989">
        <f>((('Inventário Físico'!E148*'Inventário Físico'!F148)*'Caracterização do sistema'!$I$35)/(365/7))</f>
        <v>3.3552054794520547</v>
      </c>
      <c r="M650" s="991"/>
      <c r="N650" s="989">
        <f t="shared" si="62"/>
        <v>14.578367808219177</v>
      </c>
      <c r="O650" s="991"/>
      <c r="P650" s="989">
        <f t="shared" si="63"/>
        <v>174.94041369863012</v>
      </c>
      <c r="Q650" s="990"/>
    </row>
    <row r="651" spans="2:17" x14ac:dyDescent="0.25">
      <c r="B651" s="263"/>
      <c r="C651" s="264"/>
      <c r="D651" s="300" t="s">
        <v>726</v>
      </c>
      <c r="E651" s="264" t="str">
        <f>'Inventário Físico'!B149</f>
        <v xml:space="preserve">Ar condicionado </v>
      </c>
      <c r="F651" s="264"/>
      <c r="G651" s="264"/>
      <c r="H651" s="264"/>
      <c r="I651" s="264"/>
      <c r="J651" s="264"/>
      <c r="K651" s="264"/>
      <c r="L651" s="989">
        <f>((('Inventário Físico'!E149*'Inventário Físico'!F149)*'Caracterização do sistema'!$I$35)/(365/7))</f>
        <v>4.6027013698630137</v>
      </c>
      <c r="M651" s="991"/>
      <c r="N651" s="989">
        <f t="shared" si="62"/>
        <v>19.998737452054794</v>
      </c>
      <c r="O651" s="991"/>
      <c r="P651" s="989">
        <f t="shared" si="63"/>
        <v>239.98484942465751</v>
      </c>
      <c r="Q651" s="990"/>
    </row>
    <row r="652" spans="2:17" x14ac:dyDescent="0.25">
      <c r="B652" s="263"/>
      <c r="C652" s="264"/>
      <c r="D652" s="300" t="s">
        <v>727</v>
      </c>
      <c r="E652" s="264" t="str">
        <f>'Inventário Físico'!B150</f>
        <v>Lâmpada instalações</v>
      </c>
      <c r="F652" s="264"/>
      <c r="G652" s="264"/>
      <c r="H652" s="264"/>
      <c r="I652" s="264"/>
      <c r="J652" s="264"/>
      <c r="K652" s="264"/>
      <c r="L652" s="989">
        <f>((('Inventário Físico'!E150*'Inventário Físico'!F150)*'Caracterização do sistema'!$I$35)/(365/7))</f>
        <v>8.1315068493150705E-2</v>
      </c>
      <c r="M652" s="991"/>
      <c r="N652" s="989">
        <f t="shared" si="62"/>
        <v>0.35331397260273978</v>
      </c>
      <c r="O652" s="991"/>
      <c r="P652" s="989">
        <f t="shared" si="63"/>
        <v>4.2397676712328778</v>
      </c>
      <c r="Q652" s="990"/>
    </row>
    <row r="653" spans="2:17" x14ac:dyDescent="0.25">
      <c r="B653" s="263"/>
      <c r="C653" s="264"/>
      <c r="D653" s="300" t="s">
        <v>728</v>
      </c>
      <c r="E653" s="264" t="str">
        <f>'Inventário Físico'!B151</f>
        <v>Equipamento 1</v>
      </c>
      <c r="F653" s="264"/>
      <c r="G653" s="264"/>
      <c r="H653" s="264"/>
      <c r="I653" s="264"/>
      <c r="J653" s="264"/>
      <c r="K653" s="264"/>
      <c r="L653" s="989">
        <f>((('Inventário Físico'!E151*'Inventário Físico'!F151)*'Caracterização do sistema'!$I$35)/(365/7))</f>
        <v>0</v>
      </c>
      <c r="M653" s="991"/>
      <c r="N653" s="989">
        <f t="shared" si="62"/>
        <v>0</v>
      </c>
      <c r="O653" s="991"/>
      <c r="P653" s="989">
        <f t="shared" si="63"/>
        <v>0</v>
      </c>
      <c r="Q653" s="990"/>
    </row>
    <row r="654" spans="2:17" x14ac:dyDescent="0.25">
      <c r="B654" s="263"/>
      <c r="C654" s="264"/>
      <c r="D654" s="300" t="s">
        <v>729</v>
      </c>
      <c r="E654" s="264" t="str">
        <f>'Inventário Físico'!B152</f>
        <v>Equipamento 2</v>
      </c>
      <c r="F654" s="264"/>
      <c r="G654" s="264"/>
      <c r="H654" s="264"/>
      <c r="I654" s="264"/>
      <c r="J654" s="264"/>
      <c r="K654" s="264"/>
      <c r="L654" s="989">
        <f>((('Inventário Físico'!E152*'Inventário Físico'!F152)*'Caracterização do sistema'!$I$35)/(365/7))</f>
        <v>0</v>
      </c>
      <c r="M654" s="991"/>
      <c r="N654" s="989">
        <f t="shared" si="62"/>
        <v>0</v>
      </c>
      <c r="O654" s="991"/>
      <c r="P654" s="989">
        <f t="shared" si="63"/>
        <v>0</v>
      </c>
      <c r="Q654" s="990"/>
    </row>
    <row r="655" spans="2:17" x14ac:dyDescent="0.25">
      <c r="B655" s="263"/>
      <c r="C655" s="264"/>
      <c r="D655" s="301">
        <v>2116</v>
      </c>
      <c r="E655" s="264" t="str">
        <f>'Inventário Físico'!B153</f>
        <v>Equipamento 3</v>
      </c>
      <c r="F655" s="264"/>
      <c r="G655" s="264"/>
      <c r="H655" s="264"/>
      <c r="I655" s="264"/>
      <c r="J655" s="264"/>
      <c r="K655" s="264"/>
      <c r="L655" s="989">
        <f>((('Inventário Físico'!E153*'Inventário Físico'!F153)*'Caracterização do sistema'!$I$35)/(365/7))</f>
        <v>0</v>
      </c>
      <c r="M655" s="991"/>
      <c r="N655" s="989">
        <f t="shared" si="62"/>
        <v>0</v>
      </c>
      <c r="O655" s="991"/>
      <c r="P655" s="989">
        <f t="shared" si="63"/>
        <v>0</v>
      </c>
      <c r="Q655" s="990"/>
    </row>
    <row r="656" spans="2:17" x14ac:dyDescent="0.25">
      <c r="B656" s="263"/>
      <c r="C656" s="264"/>
      <c r="D656" s="302"/>
      <c r="E656" s="271" t="str">
        <f>'Inventário Físico'!B154</f>
        <v>CANTINA</v>
      </c>
      <c r="F656" s="264"/>
      <c r="G656" s="264"/>
      <c r="H656" s="264"/>
      <c r="I656" s="264"/>
      <c r="J656" s="264"/>
      <c r="K656" s="264"/>
      <c r="L656" s="989"/>
      <c r="M656" s="991"/>
      <c r="N656" s="989"/>
      <c r="O656" s="991"/>
      <c r="P656" s="1009"/>
      <c r="Q656" s="990"/>
    </row>
    <row r="657" spans="2:17" x14ac:dyDescent="0.25">
      <c r="B657" s="263"/>
      <c r="C657" s="264"/>
      <c r="D657" s="301">
        <v>2117</v>
      </c>
      <c r="E657" s="264" t="str">
        <f>'Inventário Físico'!B155</f>
        <v xml:space="preserve">Geladeira </v>
      </c>
      <c r="F657" s="264"/>
      <c r="G657" s="264"/>
      <c r="H657" s="264"/>
      <c r="I657" s="264"/>
      <c r="J657" s="264"/>
      <c r="K657" s="264"/>
      <c r="L657" s="989">
        <f>((('Inventário Físico'!E155*'Inventário Físico'!F155)*'Caracterização do sistema'!$I$35)/(365/7))</f>
        <v>8.8218794520547945</v>
      </c>
      <c r="M657" s="991"/>
      <c r="N657" s="989">
        <f t="shared" ref="N657:N666" si="64">L657*4.345</f>
        <v>38.331066219178076</v>
      </c>
      <c r="O657" s="991"/>
      <c r="P657" s="989">
        <f t="shared" ref="P657:P666" si="65">N657*12</f>
        <v>459.97279463013695</v>
      </c>
      <c r="Q657" s="990"/>
    </row>
    <row r="658" spans="2:17" x14ac:dyDescent="0.25">
      <c r="B658" s="263"/>
      <c r="C658" s="264"/>
      <c r="D658" s="301">
        <v>2118</v>
      </c>
      <c r="E658" s="264" t="str">
        <f>'Inventário Físico'!B156</f>
        <v xml:space="preserve">Fogão </v>
      </c>
      <c r="F658" s="264"/>
      <c r="G658" s="264"/>
      <c r="H658" s="264"/>
      <c r="I658" s="264"/>
      <c r="J658" s="264"/>
      <c r="K658" s="264"/>
      <c r="L658" s="989">
        <f>((('Inventário Físico'!E156*'Inventário Físico'!F156)*'Caracterização do sistema'!$I$35)/(365/7))</f>
        <v>0.97416986301369857</v>
      </c>
      <c r="M658" s="991"/>
      <c r="N658" s="989">
        <f t="shared" si="64"/>
        <v>4.2327680547945201</v>
      </c>
      <c r="O658" s="991"/>
      <c r="P658" s="989">
        <f t="shared" si="65"/>
        <v>50.793216657534245</v>
      </c>
      <c r="Q658" s="990"/>
    </row>
    <row r="659" spans="2:17" x14ac:dyDescent="0.25">
      <c r="B659" s="263"/>
      <c r="C659" s="264"/>
      <c r="D659" s="301">
        <v>2119</v>
      </c>
      <c r="E659" s="264" t="str">
        <f>'Inventário Físico'!B157</f>
        <v xml:space="preserve">Filtro de água </v>
      </c>
      <c r="F659" s="264"/>
      <c r="G659" s="264"/>
      <c r="H659" s="264"/>
      <c r="I659" s="264"/>
      <c r="J659" s="264"/>
      <c r="K659" s="264"/>
      <c r="L659" s="989">
        <f>((('Inventário Físico'!E157*'Inventário Físico'!F157)*'Caracterização do sistema'!$I$35)/(365/7))</f>
        <v>0.69957808219178086</v>
      </c>
      <c r="M659" s="991"/>
      <c r="N659" s="989">
        <f t="shared" si="64"/>
        <v>3.0396667671232875</v>
      </c>
      <c r="O659" s="991"/>
      <c r="P659" s="989">
        <f t="shared" si="65"/>
        <v>36.476001205479449</v>
      </c>
      <c r="Q659" s="990"/>
    </row>
    <row r="660" spans="2:17" x14ac:dyDescent="0.25">
      <c r="B660" s="263"/>
      <c r="C660" s="264"/>
      <c r="D660" s="301">
        <v>2120</v>
      </c>
      <c r="E660" s="264" t="str">
        <f>'Inventário Físico'!B158</f>
        <v xml:space="preserve">Armário </v>
      </c>
      <c r="F660" s="264"/>
      <c r="G660" s="264"/>
      <c r="H660" s="264"/>
      <c r="I660" s="264"/>
      <c r="J660" s="264"/>
      <c r="K660" s="264"/>
      <c r="L660" s="989">
        <f>((('Inventário Físico'!E158*'Inventário Físico'!F158)*'Caracterização do sistema'!$I$35)/(365/7))</f>
        <v>2.6841643835616438</v>
      </c>
      <c r="M660" s="991"/>
      <c r="N660" s="989">
        <f t="shared" si="64"/>
        <v>11.662694246575342</v>
      </c>
      <c r="O660" s="991"/>
      <c r="P660" s="989">
        <f t="shared" si="65"/>
        <v>139.9523309589041</v>
      </c>
      <c r="Q660" s="990"/>
    </row>
    <row r="661" spans="2:17" x14ac:dyDescent="0.25">
      <c r="B661" s="263"/>
      <c r="C661" s="264"/>
      <c r="D661" s="301">
        <v>2121</v>
      </c>
      <c r="E661" s="264" t="str">
        <f>'Inventário Físico'!B159</f>
        <v>Mesa</v>
      </c>
      <c r="F661" s="264"/>
      <c r="G661" s="264"/>
      <c r="H661" s="264"/>
      <c r="I661" s="264"/>
      <c r="J661" s="264"/>
      <c r="K661" s="264"/>
      <c r="L661" s="989">
        <f>((('Inventário Físico'!E159*'Inventário Físico'!F159)*'Caracterização do sistema'!$I$35)/(365/7))</f>
        <v>3.8375342465753426</v>
      </c>
      <c r="M661" s="991"/>
      <c r="N661" s="989">
        <f t="shared" si="64"/>
        <v>16.674086301369861</v>
      </c>
      <c r="O661" s="991"/>
      <c r="P661" s="989">
        <f t="shared" si="65"/>
        <v>200.08903561643834</v>
      </c>
      <c r="Q661" s="990"/>
    </row>
    <row r="662" spans="2:17" x14ac:dyDescent="0.25">
      <c r="B662" s="263"/>
      <c r="C662" s="264"/>
      <c r="D662" s="301">
        <v>2122</v>
      </c>
      <c r="E662" s="264" t="str">
        <f>'Inventário Físico'!B160</f>
        <v>Banco</v>
      </c>
      <c r="F662" s="264"/>
      <c r="G662" s="264"/>
      <c r="H662" s="264"/>
      <c r="I662" s="264"/>
      <c r="J662" s="264"/>
      <c r="K662" s="264"/>
      <c r="L662" s="989">
        <f>((('Inventário Físico'!E160*'Inventário Físico'!F160)*'Caracterização do sistema'!$I$35)/(365/7))</f>
        <v>4.0273972602739727</v>
      </c>
      <c r="M662" s="991"/>
      <c r="N662" s="989">
        <f t="shared" si="64"/>
        <v>17.499041095890412</v>
      </c>
      <c r="O662" s="991"/>
      <c r="P662" s="989">
        <f t="shared" si="65"/>
        <v>209.98849315068495</v>
      </c>
      <c r="Q662" s="990"/>
    </row>
    <row r="663" spans="2:17" x14ac:dyDescent="0.25">
      <c r="B663" s="263"/>
      <c r="C663" s="264"/>
      <c r="D663" s="301">
        <v>2123</v>
      </c>
      <c r="E663" s="264" t="str">
        <f>'Inventário Físico'!B161</f>
        <v xml:space="preserve">Lâmpada instalações </v>
      </c>
      <c r="F663" s="264"/>
      <c r="G663" s="264"/>
      <c r="H663" s="264"/>
      <c r="I663" s="264"/>
      <c r="J663" s="264"/>
      <c r="K663" s="264"/>
      <c r="L663" s="989">
        <f>((('Inventário Físico'!E161*'Inventário Físico'!F161)*'Caracterização do sistema'!$I$35)/(365/7))</f>
        <v>8.1315068493150705E-2</v>
      </c>
      <c r="M663" s="991"/>
      <c r="N663" s="989">
        <f t="shared" si="64"/>
        <v>0.35331397260273978</v>
      </c>
      <c r="O663" s="991"/>
      <c r="P663" s="989">
        <f t="shared" si="65"/>
        <v>4.2397676712328778</v>
      </c>
      <c r="Q663" s="990"/>
    </row>
    <row r="664" spans="2:17" x14ac:dyDescent="0.25">
      <c r="B664" s="263"/>
      <c r="C664" s="264"/>
      <c r="D664" s="301">
        <v>2124</v>
      </c>
      <c r="E664" s="264" t="str">
        <f>'Inventário Físico'!B162</f>
        <v>Equipamento 1</v>
      </c>
      <c r="F664" s="264"/>
      <c r="G664" s="264"/>
      <c r="H664" s="264"/>
      <c r="I664" s="264"/>
      <c r="J664" s="264"/>
      <c r="K664" s="264"/>
      <c r="L664" s="989">
        <f>((('Inventário Físico'!E162*'Inventário Físico'!F162)*'Caracterização do sistema'!$I$35)/(365/7))</f>
        <v>0</v>
      </c>
      <c r="M664" s="991"/>
      <c r="N664" s="989">
        <f t="shared" si="64"/>
        <v>0</v>
      </c>
      <c r="O664" s="991"/>
      <c r="P664" s="989">
        <f t="shared" si="65"/>
        <v>0</v>
      </c>
      <c r="Q664" s="990"/>
    </row>
    <row r="665" spans="2:17" x14ac:dyDescent="0.25">
      <c r="B665" s="263"/>
      <c r="C665" s="264"/>
      <c r="D665" s="301">
        <v>2125</v>
      </c>
      <c r="E665" s="264" t="str">
        <f>'Inventário Físico'!B163</f>
        <v>Equipamento 2</v>
      </c>
      <c r="F665" s="264"/>
      <c r="G665" s="264"/>
      <c r="H665" s="264"/>
      <c r="I665" s="264"/>
      <c r="J665" s="264"/>
      <c r="K665" s="264"/>
      <c r="L665" s="989">
        <f>((('Inventário Físico'!E163*'Inventário Físico'!F163)*'Caracterização do sistema'!$I$35)/(365/7))</f>
        <v>0</v>
      </c>
      <c r="M665" s="991"/>
      <c r="N665" s="989">
        <f t="shared" si="64"/>
        <v>0</v>
      </c>
      <c r="O665" s="991"/>
      <c r="P665" s="989">
        <f t="shared" si="65"/>
        <v>0</v>
      </c>
      <c r="Q665" s="990"/>
    </row>
    <row r="666" spans="2:17" x14ac:dyDescent="0.25">
      <c r="B666" s="263"/>
      <c r="C666" s="264"/>
      <c r="D666" s="301">
        <v>2126</v>
      </c>
      <c r="E666" s="264" t="str">
        <f>'Inventário Físico'!B164</f>
        <v>Equipamento 3</v>
      </c>
      <c r="F666" s="264"/>
      <c r="G666" s="264"/>
      <c r="H666" s="264"/>
      <c r="I666" s="264"/>
      <c r="J666" s="264"/>
      <c r="K666" s="264"/>
      <c r="L666" s="989">
        <f>((('Inventário Físico'!E164*'Inventário Físico'!F164)*'Caracterização do sistema'!$I$35)/(365/7))</f>
        <v>0</v>
      </c>
      <c r="M666" s="991"/>
      <c r="N666" s="989">
        <f t="shared" si="64"/>
        <v>0</v>
      </c>
      <c r="O666" s="991"/>
      <c r="P666" s="989">
        <f t="shared" si="65"/>
        <v>0</v>
      </c>
      <c r="Q666" s="990"/>
    </row>
    <row r="667" spans="2:17" x14ac:dyDescent="0.25">
      <c r="B667" s="263"/>
      <c r="C667" s="264"/>
      <c r="D667" s="302"/>
      <c r="E667" s="271" t="str">
        <f>'Inventário Físico'!B165</f>
        <v>LIMPEZA</v>
      </c>
      <c r="F667" s="264"/>
      <c r="G667" s="264"/>
      <c r="H667" s="264"/>
      <c r="I667" s="264"/>
      <c r="J667" s="264"/>
      <c r="K667" s="264"/>
      <c r="L667" s="338"/>
      <c r="M667" s="339"/>
      <c r="N667" s="989"/>
      <c r="O667" s="991"/>
      <c r="P667" s="1009"/>
      <c r="Q667" s="990"/>
    </row>
    <row r="668" spans="2:17" x14ac:dyDescent="0.25">
      <c r="B668" s="263"/>
      <c r="C668" s="264"/>
      <c r="D668" s="301">
        <v>2127</v>
      </c>
      <c r="E668" s="264" t="str">
        <f>'Inventário Físico'!B166</f>
        <v>Lavador de botas</v>
      </c>
      <c r="F668" s="264"/>
      <c r="G668" s="264"/>
      <c r="H668" s="264"/>
      <c r="I668" s="264"/>
      <c r="J668" s="264"/>
      <c r="K668" s="264"/>
      <c r="L668" s="989">
        <f>((('Inventário Físico'!E166*'Inventário Físico'!F166)*'Caracterização do sistema'!$I$35)/(365/7))</f>
        <v>25.948405479452056</v>
      </c>
      <c r="M668" s="991"/>
      <c r="N668" s="989">
        <f t="shared" ref="N668:N673" si="66">L668*4.345</f>
        <v>112.74582180821918</v>
      </c>
      <c r="O668" s="991"/>
      <c r="P668" s="989">
        <f t="shared" ref="P668:P673" si="67">N668*12</f>
        <v>1352.9498616986302</v>
      </c>
      <c r="Q668" s="990"/>
    </row>
    <row r="669" spans="2:17" x14ac:dyDescent="0.25">
      <c r="B669" s="263"/>
      <c r="C669" s="264"/>
      <c r="D669" s="301">
        <v>2128</v>
      </c>
      <c r="E669" s="264" t="str">
        <f>'Inventário Físico'!B167</f>
        <v>Máquina de Lavar</v>
      </c>
      <c r="F669" s="264"/>
      <c r="G669" s="264"/>
      <c r="H669" s="264"/>
      <c r="I669" s="264"/>
      <c r="J669" s="264"/>
      <c r="K669" s="264"/>
      <c r="L669" s="989">
        <f>((('Inventário Físico'!E167*'Inventário Físico'!F167)*'Caracterização do sistema'!$I$35)/(365/7))</f>
        <v>2.3013506849315069</v>
      </c>
      <c r="M669" s="991"/>
      <c r="N669" s="989">
        <f t="shared" si="66"/>
        <v>9.9993687260273969</v>
      </c>
      <c r="O669" s="991"/>
      <c r="P669" s="989">
        <f t="shared" si="67"/>
        <v>119.99242471232876</v>
      </c>
      <c r="Q669" s="990"/>
    </row>
    <row r="670" spans="2:17" x14ac:dyDescent="0.25">
      <c r="B670" s="263"/>
      <c r="C670" s="264"/>
      <c r="D670" s="301">
        <v>2129</v>
      </c>
      <c r="E670" s="264" t="str">
        <f>'Inventário Físico'!B168</f>
        <v xml:space="preserve">Tanquinho </v>
      </c>
      <c r="F670" s="264"/>
      <c r="G670" s="264"/>
      <c r="H670" s="264"/>
      <c r="I670" s="264"/>
      <c r="J670" s="264"/>
      <c r="K670" s="264"/>
      <c r="L670" s="989">
        <f>((('Inventário Físico'!E168*'Inventário Físico'!F168)*'Caracterização do sistema'!$I$35)/(365/7))</f>
        <v>0.35145753424657533</v>
      </c>
      <c r="M670" s="991"/>
      <c r="N670" s="989">
        <f t="shared" si="66"/>
        <v>1.5270829863013697</v>
      </c>
      <c r="O670" s="991"/>
      <c r="P670" s="989">
        <f t="shared" si="67"/>
        <v>18.324995835616438</v>
      </c>
      <c r="Q670" s="990"/>
    </row>
    <row r="671" spans="2:17" x14ac:dyDescent="0.25">
      <c r="B671" s="263"/>
      <c r="C671" s="264"/>
      <c r="D671" s="301">
        <v>2130</v>
      </c>
      <c r="E671" s="264" t="str">
        <f>'Inventário Físico'!B169</f>
        <v xml:space="preserve">Vassouras </v>
      </c>
      <c r="F671" s="264"/>
      <c r="G671" s="264"/>
      <c r="H671" s="264"/>
      <c r="I671" s="264"/>
      <c r="J671" s="264"/>
      <c r="K671" s="264"/>
      <c r="L671" s="989">
        <f>((('Inventário Físico'!E169*'Inventário Físico'!F169)*'Caracterização do sistema'!$I$35)/(365/7))</f>
        <v>0.94277534246575345</v>
      </c>
      <c r="M671" s="991"/>
      <c r="N671" s="989">
        <f t="shared" si="66"/>
        <v>4.0963588630136982</v>
      </c>
      <c r="O671" s="991"/>
      <c r="P671" s="989">
        <f t="shared" si="67"/>
        <v>49.156306356164379</v>
      </c>
      <c r="Q671" s="990"/>
    </row>
    <row r="672" spans="2:17" x14ac:dyDescent="0.25">
      <c r="B672" s="263"/>
      <c r="C672" s="264"/>
      <c r="D672" s="301">
        <v>2131</v>
      </c>
      <c r="E672" s="264" t="str">
        <f>'Inventário Físico'!B170</f>
        <v xml:space="preserve">Rodos </v>
      </c>
      <c r="F672" s="264"/>
      <c r="G672" s="264"/>
      <c r="H672" s="264"/>
      <c r="I672" s="264"/>
      <c r="J672" s="264"/>
      <c r="K672" s="264"/>
      <c r="L672" s="989">
        <f>((('Inventário Físico'!E170*'Inventário Físico'!F170)*'Caracterização do sistema'!$I$35)/(365/7))</f>
        <v>0.4982465753424658</v>
      </c>
      <c r="M672" s="991"/>
      <c r="N672" s="989">
        <f t="shared" si="66"/>
        <v>2.1648813698630138</v>
      </c>
      <c r="O672" s="991"/>
      <c r="P672" s="989">
        <f t="shared" si="67"/>
        <v>25.978576438356164</v>
      </c>
      <c r="Q672" s="990"/>
    </row>
    <row r="673" spans="1:17" x14ac:dyDescent="0.25">
      <c r="B673" s="263"/>
      <c r="C673" s="264"/>
      <c r="D673" s="301">
        <v>2132</v>
      </c>
      <c r="E673" s="264" t="str">
        <f>'Inventário Físico'!B171</f>
        <v xml:space="preserve">Pás </v>
      </c>
      <c r="F673" s="264"/>
      <c r="G673" s="264"/>
      <c r="H673" s="264"/>
      <c r="I673" s="264"/>
      <c r="J673" s="264"/>
      <c r="K673" s="264"/>
      <c r="L673" s="989">
        <f>((('Inventário Físico'!E171*'Inventário Físico'!F171)*'Caracterização do sistema'!$I$35)/(365/7))</f>
        <v>1.0919999999999999</v>
      </c>
      <c r="M673" s="991"/>
      <c r="N673" s="989">
        <f t="shared" si="66"/>
        <v>4.7447399999999993</v>
      </c>
      <c r="O673" s="991"/>
      <c r="P673" s="989">
        <f t="shared" si="67"/>
        <v>56.936879999999988</v>
      </c>
      <c r="Q673" s="990"/>
    </row>
    <row r="674" spans="1:17" x14ac:dyDescent="0.25">
      <c r="B674" s="263"/>
      <c r="C674" s="264"/>
      <c r="D674" s="302"/>
      <c r="E674" s="271" t="str">
        <f>'Inventário Físico'!B173</f>
        <v>VEÍCULOS</v>
      </c>
      <c r="F674" s="264"/>
      <c r="G674" s="264"/>
      <c r="H674" s="264"/>
      <c r="I674" s="264"/>
      <c r="J674" s="264"/>
      <c r="K674" s="264"/>
      <c r="L674" s="338"/>
      <c r="M674" s="339"/>
      <c r="N674" s="989"/>
      <c r="O674" s="991"/>
      <c r="P674" s="1009"/>
      <c r="Q674" s="990"/>
    </row>
    <row r="675" spans="1:17" x14ac:dyDescent="0.25">
      <c r="B675" s="263"/>
      <c r="C675" s="264"/>
      <c r="D675" s="301">
        <v>2133</v>
      </c>
      <c r="E675" s="264" t="str">
        <f>'Inventário Físico'!B174</f>
        <v xml:space="preserve">Caminhão </v>
      </c>
      <c r="F675" s="264"/>
      <c r="G675" s="264"/>
      <c r="H675" s="264"/>
      <c r="I675" s="264"/>
      <c r="J675" s="264"/>
      <c r="K675" s="264"/>
      <c r="L675" s="989">
        <f>((('Inventário Físico'!E174*'Inventário Físico'!F174)*'Caracterização do sistema'!$I$35)/(365/7))</f>
        <v>2163.9589041095887</v>
      </c>
      <c r="M675" s="991"/>
      <c r="N675" s="989">
        <f t="shared" ref="N675:N680" si="68">L675*4.345</f>
        <v>9402.4014383561625</v>
      </c>
      <c r="O675" s="991"/>
      <c r="P675" s="989">
        <f t="shared" ref="P675:P680" si="69">N675*12</f>
        <v>112828.81726027395</v>
      </c>
      <c r="Q675" s="990"/>
    </row>
    <row r="676" spans="1:17" x14ac:dyDescent="0.25">
      <c r="B676" s="263"/>
      <c r="C676" s="264"/>
      <c r="D676" s="301">
        <v>2134</v>
      </c>
      <c r="E676" s="264" t="str">
        <f>'Inventário Físico'!B175</f>
        <v xml:space="preserve">Carro </v>
      </c>
      <c r="F676" s="264"/>
      <c r="G676" s="264"/>
      <c r="H676" s="264"/>
      <c r="I676" s="264"/>
      <c r="J676" s="264"/>
      <c r="K676" s="264"/>
      <c r="L676" s="989">
        <f>((('Inventário Físico'!E175*'Inventário Físico'!F175)*'Caracterização do sistema'!$I$35)/(365/7))</f>
        <v>124.22794520547946</v>
      </c>
      <c r="M676" s="991"/>
      <c r="N676" s="989">
        <f t="shared" si="68"/>
        <v>539.77042191780822</v>
      </c>
      <c r="O676" s="991"/>
      <c r="P676" s="989">
        <f t="shared" si="69"/>
        <v>6477.2450630136991</v>
      </c>
      <c r="Q676" s="990"/>
    </row>
    <row r="677" spans="1:17" x14ac:dyDescent="0.25">
      <c r="B677" s="263"/>
      <c r="C677" s="264"/>
      <c r="D677" s="301">
        <v>2135</v>
      </c>
      <c r="E677" s="264" t="str">
        <f>'Inventário Físico'!B176</f>
        <v xml:space="preserve">Pickup </v>
      </c>
      <c r="F677" s="264"/>
      <c r="G677" s="264"/>
      <c r="H677" s="264"/>
      <c r="I677" s="264"/>
      <c r="J677" s="264"/>
      <c r="K677" s="264"/>
      <c r="L677" s="989">
        <f>((('Inventário Físico'!E176*'Inventário Físico'!F176)*'Caracterização do sistema'!$I$35)/(365/7))</f>
        <v>230.25142191780822</v>
      </c>
      <c r="M677" s="991"/>
      <c r="N677" s="989">
        <f t="shared" si="68"/>
        <v>1000.4424282328766</v>
      </c>
      <c r="O677" s="991"/>
      <c r="P677" s="989">
        <f t="shared" si="69"/>
        <v>12005.309138794521</v>
      </c>
      <c r="Q677" s="990"/>
    </row>
    <row r="678" spans="1:17" x14ac:dyDescent="0.25">
      <c r="B678" s="263"/>
      <c r="C678" s="264"/>
      <c r="D678" s="301">
        <v>2136</v>
      </c>
      <c r="E678" s="264" t="str">
        <f>'Inventário Físico'!B177</f>
        <v>Strada</v>
      </c>
      <c r="F678" s="264"/>
      <c r="G678" s="264"/>
      <c r="H678" s="264"/>
      <c r="I678" s="264"/>
      <c r="J678" s="264"/>
      <c r="K678" s="264"/>
      <c r="L678" s="989">
        <f>((('Inventário Físico'!E177*'Inventário Físico'!F177)*'Caracterização do sistema'!$I$35)/(365/7))</f>
        <v>88.069589041095881</v>
      </c>
      <c r="M678" s="991"/>
      <c r="N678" s="989">
        <f t="shared" si="68"/>
        <v>382.66236438356157</v>
      </c>
      <c r="O678" s="991"/>
      <c r="P678" s="989">
        <f t="shared" si="69"/>
        <v>4591.9483726027393</v>
      </c>
      <c r="Q678" s="990"/>
    </row>
    <row r="679" spans="1:17" x14ac:dyDescent="0.25">
      <c r="B679" s="263"/>
      <c r="C679" s="264"/>
      <c r="D679" s="301">
        <v>2137</v>
      </c>
      <c r="E679" s="264" t="str">
        <f>'Inventário Físico'!B178</f>
        <v>Veículo 2</v>
      </c>
      <c r="F679" s="264"/>
      <c r="G679" s="264"/>
      <c r="H679" s="264"/>
      <c r="I679" s="264"/>
      <c r="J679" s="264"/>
      <c r="K679" s="264"/>
      <c r="L679" s="989">
        <f>((('Inventário Físico'!E178*'Inventário Físico'!F178)*'Caracterização do sistema'!$I$35)/(365/7))</f>
        <v>0</v>
      </c>
      <c r="M679" s="991"/>
      <c r="N679" s="989">
        <f t="shared" si="68"/>
        <v>0</v>
      </c>
      <c r="O679" s="991"/>
      <c r="P679" s="989">
        <f t="shared" si="69"/>
        <v>0</v>
      </c>
      <c r="Q679" s="990"/>
    </row>
    <row r="680" spans="1:17" x14ac:dyDescent="0.25">
      <c r="B680" s="263"/>
      <c r="C680" s="264"/>
      <c r="D680" s="301">
        <v>2138</v>
      </c>
      <c r="E680" s="264" t="str">
        <f>'Inventário Físico'!B179</f>
        <v>Veículo 3</v>
      </c>
      <c r="F680" s="264"/>
      <c r="G680" s="264"/>
      <c r="H680" s="264"/>
      <c r="I680" s="264"/>
      <c r="J680" s="264"/>
      <c r="K680" s="264"/>
      <c r="L680" s="989">
        <f>((('Inventário Físico'!E179*'Inventário Físico'!F179)*'Caracterização do sistema'!$I$35)/(365/7))</f>
        <v>0</v>
      </c>
      <c r="M680" s="991"/>
      <c r="N680" s="989">
        <f t="shared" si="68"/>
        <v>0</v>
      </c>
      <c r="O680" s="991"/>
      <c r="P680" s="989">
        <f t="shared" si="69"/>
        <v>0</v>
      </c>
      <c r="Q680" s="990"/>
    </row>
    <row r="681" spans="1:17" x14ac:dyDescent="0.25">
      <c r="B681" s="1032" t="s">
        <v>559</v>
      </c>
      <c r="C681" s="1033"/>
      <c r="D681" s="1033"/>
      <c r="E681" s="1033"/>
      <c r="F681" s="1033"/>
      <c r="G681" s="1033"/>
      <c r="H681" s="1033"/>
      <c r="I681" s="1033"/>
      <c r="J681" s="1033"/>
      <c r="K681" s="1084"/>
      <c r="L681" s="1012">
        <f>SUM(L645:M680)</f>
        <v>2692.6717999999996</v>
      </c>
      <c r="M681" s="1013"/>
      <c r="N681" s="1012">
        <f>SUM(N645:O680)</f>
        <v>11699.658970999997</v>
      </c>
      <c r="O681" s="1013"/>
      <c r="P681" s="1012">
        <f>SUM(P645:Q680)</f>
        <v>140395.90765199997</v>
      </c>
      <c r="Q681" s="1014"/>
    </row>
    <row r="682" spans="1:17" s="326" customFormat="1" ht="65.25" customHeight="1" x14ac:dyDescent="0.25">
      <c r="A682" s="325"/>
      <c r="B682" s="1098" t="s">
        <v>562</v>
      </c>
      <c r="C682" s="1099"/>
      <c r="D682" s="1099"/>
      <c r="E682" s="1099"/>
      <c r="F682" s="1099"/>
      <c r="G682" s="1099"/>
      <c r="H682" s="1099"/>
      <c r="I682" s="1099"/>
      <c r="J682" s="1099"/>
      <c r="K682" s="1101"/>
      <c r="L682" s="1043">
        <f>SUM(L506,L512,L514,L516,L518,L527,L539,L602,L623,L634,L644,L681)</f>
        <v>52015.750899550891</v>
      </c>
      <c r="M682" s="1044"/>
      <c r="N682" s="1043">
        <f>SUM(N506,N512,N514,N516,N518,N527,N539,N602,N623,N634,N644,N681)</f>
        <v>226008.43765854859</v>
      </c>
      <c r="O682" s="1044"/>
      <c r="P682" s="1043">
        <f>SUM(P506,P512,P514,P516,P518,P527,P539,P602,P623,P634,P644,P681)</f>
        <v>2712101.2519025835</v>
      </c>
      <c r="Q682" s="1045"/>
    </row>
    <row r="683" spans="1:17" x14ac:dyDescent="0.25">
      <c r="B683" s="201"/>
      <c r="C683" s="200"/>
      <c r="D683" s="200"/>
      <c r="E683" s="200"/>
      <c r="F683" s="200"/>
      <c r="G683" s="200"/>
      <c r="H683" s="200"/>
      <c r="I683" s="200"/>
      <c r="J683" s="200"/>
      <c r="K683" s="241"/>
      <c r="L683" s="237"/>
      <c r="M683" s="229"/>
      <c r="N683" s="237"/>
      <c r="O683" s="229"/>
      <c r="P683" s="237"/>
      <c r="Q683" s="239"/>
    </row>
    <row r="684" spans="1:17" x14ac:dyDescent="0.25">
      <c r="B684" s="257" t="s">
        <v>563</v>
      </c>
      <c r="C684" s="258"/>
      <c r="D684" s="259"/>
      <c r="E684" s="259"/>
      <c r="F684" s="259"/>
      <c r="G684" s="259"/>
      <c r="H684" s="259"/>
      <c r="I684" s="259"/>
      <c r="J684" s="259"/>
      <c r="K684" s="259"/>
      <c r="L684" s="1019"/>
      <c r="M684" s="1052"/>
      <c r="N684" s="1019"/>
      <c r="O684" s="1052"/>
      <c r="P684" s="1019"/>
      <c r="Q684" s="1020"/>
    </row>
    <row r="685" spans="1:17" x14ac:dyDescent="0.25">
      <c r="B685" s="201"/>
      <c r="C685" s="200"/>
      <c r="D685" s="200" t="s">
        <v>153</v>
      </c>
      <c r="E685" s="200" t="str">
        <f>'Caracterização do sistema'!C28</f>
        <v>Impostos (ITR, entre outros)</v>
      </c>
      <c r="F685" s="200"/>
      <c r="G685" s="200"/>
      <c r="H685" s="200"/>
      <c r="I685" s="200"/>
      <c r="J685" s="200"/>
      <c r="K685" s="241"/>
      <c r="L685" s="981">
        <f>('Caracterização do sistema'!I28/(365/7))</f>
        <v>4878.9041095890407</v>
      </c>
      <c r="M685" s="982"/>
      <c r="N685" s="981">
        <f>L685*4.345</f>
        <v>21198.838356164382</v>
      </c>
      <c r="O685" s="982"/>
      <c r="P685" s="981">
        <f>N685*12</f>
        <v>254386.06027397257</v>
      </c>
      <c r="Q685" s="983"/>
    </row>
    <row r="686" spans="1:17" x14ac:dyDescent="0.25">
      <c r="B686" s="201"/>
      <c r="C686" s="200"/>
      <c r="D686" s="200" t="s">
        <v>152</v>
      </c>
      <c r="E686" s="200" t="str">
        <f>'Caracterização do sistema'!C29</f>
        <v>Taxas (Sindicato, Associação, entre outros)</v>
      </c>
      <c r="F686" s="200"/>
      <c r="G686" s="200"/>
      <c r="H686" s="200"/>
      <c r="I686" s="200"/>
      <c r="J686" s="200"/>
      <c r="K686" s="241"/>
      <c r="L686" s="981">
        <f>('Caracterização do sistema'!I29/(365/7))</f>
        <v>0</v>
      </c>
      <c r="M686" s="982"/>
      <c r="N686" s="981">
        <f>L686*4.345</f>
        <v>0</v>
      </c>
      <c r="O686" s="982"/>
      <c r="P686" s="981">
        <f>N686*12</f>
        <v>0</v>
      </c>
      <c r="Q686" s="983"/>
    </row>
    <row r="687" spans="1:17" x14ac:dyDescent="0.25">
      <c r="B687" s="201"/>
      <c r="C687" s="200"/>
      <c r="D687" s="200" t="s">
        <v>564</v>
      </c>
      <c r="E687" s="200" t="str">
        <f>'Caracterização do sistema'!C30</f>
        <v>Outras taxas fixas</v>
      </c>
      <c r="F687" s="200"/>
      <c r="G687" s="200"/>
      <c r="H687" s="200"/>
      <c r="I687" s="200"/>
      <c r="J687" s="200"/>
      <c r="K687" s="241"/>
      <c r="L687" s="981">
        <f>('Caracterização do sistema'!I30/(365/7))</f>
        <v>0</v>
      </c>
      <c r="M687" s="982"/>
      <c r="N687" s="981">
        <f>L687*4.345</f>
        <v>0</v>
      </c>
      <c r="O687" s="982"/>
      <c r="P687" s="981">
        <f>N687*12</f>
        <v>0</v>
      </c>
      <c r="Q687" s="983"/>
    </row>
    <row r="688" spans="1:17" s="326" customFormat="1" ht="35.25" x14ac:dyDescent="0.25">
      <c r="A688" s="325"/>
      <c r="B688" s="1028" t="s">
        <v>565</v>
      </c>
      <c r="C688" s="1029"/>
      <c r="D688" s="1029"/>
      <c r="E688" s="1029"/>
      <c r="F688" s="1029"/>
      <c r="G688" s="1029"/>
      <c r="H688" s="1029"/>
      <c r="I688" s="1029"/>
      <c r="J688" s="1029"/>
      <c r="K688" s="1042"/>
      <c r="L688" s="1043">
        <f>SUM(L685:M687)</f>
        <v>4878.9041095890407</v>
      </c>
      <c r="M688" s="1044"/>
      <c r="N688" s="1043">
        <f>SUM(N685:O687)</f>
        <v>21198.838356164382</v>
      </c>
      <c r="O688" s="1044"/>
      <c r="P688" s="1043">
        <f>SUM(P685:Q687)</f>
        <v>254386.06027397257</v>
      </c>
      <c r="Q688" s="1045"/>
    </row>
    <row r="689" spans="1:17" ht="32.25" thickBot="1" x14ac:dyDescent="0.3">
      <c r="B689" s="201"/>
      <c r="C689" s="200"/>
      <c r="D689" s="200"/>
      <c r="E689" s="200"/>
      <c r="F689" s="200"/>
      <c r="G689" s="200"/>
      <c r="H689" s="200"/>
      <c r="I689" s="200"/>
      <c r="J689" s="200"/>
      <c r="K689" s="241"/>
      <c r="L689" s="237"/>
      <c r="M689" s="229"/>
      <c r="N689" s="237"/>
      <c r="O689" s="229"/>
      <c r="P689" s="237"/>
      <c r="Q689" s="239"/>
    </row>
    <row r="690" spans="1:17" s="331" customFormat="1" ht="38.25" thickBot="1" x14ac:dyDescent="0.3">
      <c r="A690" s="330"/>
      <c r="B690" s="1067" t="s">
        <v>568</v>
      </c>
      <c r="C690" s="1104"/>
      <c r="D690" s="1104"/>
      <c r="E690" s="1104"/>
      <c r="F690" s="1104"/>
      <c r="G690" s="1104"/>
      <c r="H690" s="1104"/>
      <c r="I690" s="1104"/>
      <c r="J690" s="1104"/>
      <c r="K690" s="1105"/>
      <c r="L690" s="1070">
        <f>SUM(L688,L682,L500,L313,L296)</f>
        <v>116609.96256630763</v>
      </c>
      <c r="M690" s="1071"/>
      <c r="N690" s="1070">
        <f>SUM(N688,N682,N500,N313,N296)</f>
        <v>506670.28735060664</v>
      </c>
      <c r="O690" s="1071"/>
      <c r="P690" s="1070">
        <f>SUM(P688,P682,P500,P313,P296)</f>
        <v>6080043.4482072797</v>
      </c>
      <c r="Q690" s="1072"/>
    </row>
    <row r="691" spans="1:17" ht="32.25" thickBot="1" x14ac:dyDescent="0.3">
      <c r="B691" s="201"/>
      <c r="C691" s="200"/>
      <c r="D691" s="200"/>
      <c r="E691" s="200"/>
      <c r="F691" s="200"/>
      <c r="G691" s="200"/>
      <c r="H691" s="200"/>
      <c r="I691" s="200"/>
      <c r="J691" s="200"/>
      <c r="K691" s="200"/>
      <c r="L691" s="981"/>
      <c r="M691" s="982"/>
      <c r="N691" s="981"/>
      <c r="O691" s="982"/>
      <c r="P691" s="981"/>
      <c r="Q691" s="983"/>
    </row>
    <row r="692" spans="1:17" s="288" customFormat="1" ht="47.25" thickBot="1" x14ac:dyDescent="0.3">
      <c r="A692" s="327"/>
      <c r="B692" s="1081" t="s">
        <v>569</v>
      </c>
      <c r="C692" s="1082"/>
      <c r="D692" s="1082"/>
      <c r="E692" s="1082"/>
      <c r="F692" s="1082"/>
      <c r="G692" s="1082"/>
      <c r="H692" s="1082"/>
      <c r="I692" s="1082"/>
      <c r="J692" s="1082"/>
      <c r="K692" s="1083"/>
      <c r="L692" s="1102">
        <f>(L245+L690)</f>
        <v>830958.65071607358</v>
      </c>
      <c r="M692" s="1103"/>
      <c r="N692" s="1102">
        <f>(N245+N690)</f>
        <v>3600774.872304616</v>
      </c>
      <c r="O692" s="1103"/>
      <c r="P692" s="1102">
        <f>(P245+P690)</f>
        <v>43326184.048336081</v>
      </c>
      <c r="Q692" s="1103"/>
    </row>
    <row r="693" spans="1:17" ht="32.25" thickBot="1" x14ac:dyDescent="0.3">
      <c r="B693" s="188"/>
      <c r="C693" s="189"/>
      <c r="D693" s="189"/>
      <c r="E693" s="189"/>
      <c r="F693" s="189"/>
      <c r="G693" s="189"/>
      <c r="H693" s="189"/>
      <c r="I693" s="189"/>
      <c r="J693" s="189"/>
      <c r="K693" s="190"/>
      <c r="L693" s="191"/>
      <c r="M693" s="192"/>
      <c r="N693" s="191"/>
      <c r="O693" s="192"/>
      <c r="P693" s="191"/>
      <c r="Q693" s="192"/>
    </row>
    <row r="694" spans="1:17" s="288" customFormat="1" ht="39" thickBot="1" x14ac:dyDescent="0.3">
      <c r="A694" s="327"/>
      <c r="B694" s="1081" t="s">
        <v>996</v>
      </c>
      <c r="C694" s="1082"/>
      <c r="D694" s="1082"/>
      <c r="E694" s="1082"/>
      <c r="F694" s="1082"/>
      <c r="G694" s="1082"/>
      <c r="H694" s="1082"/>
      <c r="I694" s="1082"/>
      <c r="J694" s="1082"/>
      <c r="K694" s="1083"/>
      <c r="L694" s="1079"/>
      <c r="M694" s="1080"/>
      <c r="N694" s="1079"/>
      <c r="O694" s="1080"/>
      <c r="P694" s="1079"/>
      <c r="Q694" s="1080"/>
    </row>
    <row r="695" spans="1:17" x14ac:dyDescent="0.25">
      <c r="B695" s="257" t="s">
        <v>1001</v>
      </c>
      <c r="C695" s="259"/>
      <c r="D695" s="259"/>
      <c r="E695" s="259"/>
      <c r="F695" s="259"/>
      <c r="G695" s="259"/>
      <c r="H695" s="259"/>
      <c r="I695" s="259"/>
      <c r="J695" s="259"/>
      <c r="K695" s="259"/>
      <c r="L695" s="1019"/>
      <c r="M695" s="1052"/>
      <c r="N695" s="1019"/>
      <c r="O695" s="1052"/>
      <c r="P695" s="1019"/>
      <c r="Q695" s="1020"/>
    </row>
    <row r="696" spans="1:17" x14ac:dyDescent="0.25">
      <c r="B696" s="198"/>
      <c r="C696" s="200"/>
      <c r="D696" s="200"/>
      <c r="E696" s="200"/>
      <c r="F696" s="200"/>
      <c r="G696" s="200"/>
      <c r="H696" s="200"/>
      <c r="I696" s="200"/>
      <c r="J696" s="200"/>
      <c r="K696" s="200"/>
      <c r="L696" s="981"/>
      <c r="M696" s="982"/>
      <c r="N696" s="981"/>
      <c r="O696" s="982"/>
      <c r="P696" s="981"/>
      <c r="Q696" s="983"/>
    </row>
    <row r="697" spans="1:17" x14ac:dyDescent="0.25">
      <c r="B697" s="201"/>
      <c r="C697" s="202" t="s">
        <v>573</v>
      </c>
      <c r="D697" s="200"/>
      <c r="E697" s="200"/>
      <c r="F697" s="200"/>
      <c r="G697" s="200"/>
      <c r="H697" s="200"/>
      <c r="I697" s="200"/>
      <c r="J697" s="200"/>
      <c r="K697" s="200"/>
      <c r="L697" s="981"/>
      <c r="M697" s="982"/>
      <c r="N697" s="981"/>
      <c r="O697" s="982"/>
      <c r="P697" s="981"/>
      <c r="Q697" s="983"/>
    </row>
    <row r="698" spans="1:17" x14ac:dyDescent="0.25">
      <c r="B698" s="201"/>
      <c r="C698" s="200"/>
      <c r="D698" s="200" t="s">
        <v>132</v>
      </c>
      <c r="E698" s="200" t="s">
        <v>574</v>
      </c>
      <c r="F698" s="200"/>
      <c r="G698" s="200"/>
      <c r="H698" s="200"/>
      <c r="I698" s="200"/>
      <c r="J698" s="200"/>
      <c r="K698" s="200"/>
      <c r="L698" s="981">
        <f>((SUM('Inventário Físico'!G5:G21)*'Caracterização do sistema'!$I$14)/(365/7))</f>
        <v>31144.588862743851</v>
      </c>
      <c r="M698" s="982"/>
      <c r="N698" s="981">
        <f>L698*4.345</f>
        <v>135323.23860862202</v>
      </c>
      <c r="O698" s="982"/>
      <c r="P698" s="981">
        <f>N698*12</f>
        <v>1623878.8633034644</v>
      </c>
      <c r="Q698" s="983"/>
    </row>
    <row r="699" spans="1:17" ht="54" customHeight="1" x14ac:dyDescent="0.25">
      <c r="B699" s="201"/>
      <c r="C699" s="200"/>
      <c r="D699" s="200" t="s">
        <v>155</v>
      </c>
      <c r="E699" s="200" t="s">
        <v>810</v>
      </c>
      <c r="F699" s="200"/>
      <c r="G699" s="200"/>
      <c r="H699" s="200"/>
      <c r="I699" s="200"/>
      <c r="J699" s="200"/>
      <c r="K699" s="200"/>
      <c r="L699" s="981">
        <f>(SUM('Inventário Físico'!G29:G37,'Inventário Físico'!G39:G55,'Inventário Físico'!G57:G65,'Inventário Físico'!G67:G75,'Inventário Físico'!G78:G88,'Inventário Físico'!G90:G100,'Inventário Físico'!G102:G121,'Inventário Físico'!G123:G132,'Inventário Físico'!G134:G142,'Inventário Físico'!G144:G153,'Inventário Físico'!G155:G164,'Inventário Físico'!G166:G171,'Inventário Físico'!G174:G179)*'Caracterização do sistema'!$I$14)/(365/7)</f>
        <v>7958.7198659878268</v>
      </c>
      <c r="M699" s="982"/>
      <c r="N699" s="981">
        <f>L699*4.345</f>
        <v>34580.637817717106</v>
      </c>
      <c r="O699" s="982"/>
      <c r="P699" s="981">
        <f>N699*12</f>
        <v>414967.65381260531</v>
      </c>
      <c r="Q699" s="983"/>
    </row>
    <row r="700" spans="1:17" x14ac:dyDescent="0.25">
      <c r="B700" s="201"/>
      <c r="C700" s="200"/>
      <c r="D700" s="200" t="s">
        <v>160</v>
      </c>
      <c r="E700" s="200" t="s">
        <v>575</v>
      </c>
      <c r="F700" s="200"/>
      <c r="G700" s="200"/>
      <c r="H700" s="200"/>
      <c r="I700" s="200"/>
      <c r="J700" s="200"/>
      <c r="K700" s="200"/>
      <c r="L700" s="1121">
        <f>(('Inventário Físico'!G25*'Caracterização do sistema'!$I$14)/(365/7))</f>
        <v>340.32849315068495</v>
      </c>
      <c r="M700" s="982"/>
      <c r="N700" s="981">
        <f>L700*4.345</f>
        <v>1478.7273027397259</v>
      </c>
      <c r="O700" s="982"/>
      <c r="P700" s="981">
        <f>N700*12</f>
        <v>17744.727632876711</v>
      </c>
      <c r="Q700" s="983"/>
    </row>
    <row r="701" spans="1:17" ht="58.5" customHeight="1" x14ac:dyDescent="0.25">
      <c r="B701" s="201"/>
      <c r="C701" s="200"/>
      <c r="D701" s="200" t="s">
        <v>161</v>
      </c>
      <c r="E701" s="200" t="s">
        <v>576</v>
      </c>
      <c r="F701" s="200"/>
      <c r="G701" s="200"/>
      <c r="H701" s="200"/>
      <c r="I701" s="200"/>
      <c r="J701" s="200"/>
      <c r="K701" s="200"/>
      <c r="L701" s="981">
        <f>(('Inventário Físico'!G24*'Caracterização do sistema'!$I$14)/(365/7))</f>
        <v>4675.3047945205481</v>
      </c>
      <c r="M701" s="982"/>
      <c r="N701" s="981">
        <f>L701*4.345</f>
        <v>20314.19933219178</v>
      </c>
      <c r="O701" s="982"/>
      <c r="P701" s="981">
        <f>N701*12</f>
        <v>243770.39198630134</v>
      </c>
      <c r="Q701" s="983"/>
    </row>
    <row r="702" spans="1:17" x14ac:dyDescent="0.25">
      <c r="B702" s="201"/>
      <c r="C702" s="200"/>
      <c r="D702" s="200"/>
      <c r="E702" s="200"/>
      <c r="F702" s="200"/>
      <c r="G702" s="200"/>
      <c r="H702" s="200"/>
      <c r="I702" s="200"/>
      <c r="J702" s="200"/>
      <c r="K702" s="200"/>
      <c r="L702" s="981"/>
      <c r="M702" s="982"/>
      <c r="N702" s="981"/>
      <c r="O702" s="982"/>
      <c r="P702" s="981"/>
      <c r="Q702" s="983"/>
    </row>
    <row r="703" spans="1:17" x14ac:dyDescent="0.25">
      <c r="B703" s="201"/>
      <c r="C703" s="202" t="s">
        <v>577</v>
      </c>
      <c r="D703" s="200"/>
      <c r="E703" s="200"/>
      <c r="F703" s="200"/>
      <c r="G703" s="200"/>
      <c r="H703" s="200"/>
      <c r="I703" s="200"/>
      <c r="J703" s="200"/>
      <c r="K703" s="200"/>
      <c r="L703" s="981">
        <f>((L231*'Caracterização do sistema'!$I$13)/(365/7))</f>
        <v>367.96909490223948</v>
      </c>
      <c r="M703" s="982"/>
      <c r="N703" s="981">
        <f>L703*4.345</f>
        <v>1598.8257173502304</v>
      </c>
      <c r="O703" s="982"/>
      <c r="P703" s="981">
        <f>N703*12</f>
        <v>19185.908608202764</v>
      </c>
      <c r="Q703" s="983"/>
    </row>
    <row r="704" spans="1:17" x14ac:dyDescent="0.25">
      <c r="B704" s="201"/>
      <c r="C704" s="200"/>
      <c r="D704" s="200"/>
      <c r="E704" s="200"/>
      <c r="F704" s="200"/>
      <c r="G704" s="200"/>
      <c r="H704" s="200"/>
      <c r="I704" s="200"/>
      <c r="J704" s="200"/>
      <c r="K704" s="200"/>
      <c r="L704" s="981"/>
      <c r="M704" s="982"/>
      <c r="N704" s="981"/>
      <c r="O704" s="982"/>
      <c r="P704" s="981"/>
      <c r="Q704" s="983"/>
    </row>
    <row r="705" spans="1:18" x14ac:dyDescent="0.25">
      <c r="B705" s="201"/>
      <c r="C705" s="202" t="s">
        <v>578</v>
      </c>
      <c r="D705" s="200"/>
      <c r="E705" s="200"/>
      <c r="F705" s="200"/>
      <c r="G705" s="200"/>
      <c r="H705" s="200"/>
      <c r="I705" s="200"/>
      <c r="J705" s="200"/>
      <c r="K705" s="200"/>
      <c r="L705" s="981">
        <f>(('Caracterização do sistema'!$I$8*'Caracterização do sistema'!I16)/(365/7))</f>
        <v>3989.6994410958905</v>
      </c>
      <c r="M705" s="982"/>
      <c r="N705" s="981">
        <f>L705*4.345</f>
        <v>17335.244071561643</v>
      </c>
      <c r="O705" s="982"/>
      <c r="P705" s="981">
        <f>N705*12</f>
        <v>208022.92885873973</v>
      </c>
      <c r="Q705" s="983"/>
    </row>
    <row r="706" spans="1:18" ht="32.25" thickBot="1" x14ac:dyDescent="0.3">
      <c r="B706" s="223"/>
      <c r="C706" s="224"/>
      <c r="D706" s="224"/>
      <c r="E706" s="224"/>
      <c r="F706" s="224"/>
      <c r="G706" s="224"/>
      <c r="H706" s="224"/>
      <c r="I706" s="224"/>
      <c r="J706" s="224"/>
      <c r="K706" s="272"/>
      <c r="L706" s="981"/>
      <c r="M706" s="982"/>
      <c r="N706" s="981"/>
      <c r="O706" s="982"/>
      <c r="P706" s="981"/>
      <c r="Q706" s="983"/>
    </row>
    <row r="707" spans="1:18" ht="36.75" thickBot="1" x14ac:dyDescent="0.3">
      <c r="B707" s="1127" t="s">
        <v>997</v>
      </c>
      <c r="C707" s="1128"/>
      <c r="D707" s="1128"/>
      <c r="E707" s="1128"/>
      <c r="F707" s="1128"/>
      <c r="G707" s="1128"/>
      <c r="H707" s="1128"/>
      <c r="I707" s="1128"/>
      <c r="J707" s="1128"/>
      <c r="K707" s="1129"/>
      <c r="L707" s="1111">
        <f>SUM(L696:M706)</f>
        <v>48476.610552401035</v>
      </c>
      <c r="M707" s="1112"/>
      <c r="N707" s="1111">
        <f>SUM(N696:O706)</f>
        <v>210630.8728501825</v>
      </c>
      <c r="O707" s="1112"/>
      <c r="P707" s="1111">
        <f>SUM(P696:Q706)</f>
        <v>2527570.4742021905</v>
      </c>
      <c r="Q707" s="1113"/>
    </row>
    <row r="708" spans="1:18" ht="32.25" thickBot="1" x14ac:dyDescent="0.3">
      <c r="B708" s="273"/>
      <c r="C708" s="274"/>
      <c r="D708" s="274"/>
      <c r="E708" s="274"/>
      <c r="F708" s="274"/>
      <c r="G708" s="274"/>
      <c r="H708" s="274"/>
      <c r="I708" s="274"/>
      <c r="J708" s="274"/>
      <c r="K708" s="274"/>
      <c r="L708" s="275"/>
      <c r="M708" s="275"/>
      <c r="N708" s="275"/>
      <c r="O708" s="275"/>
      <c r="P708" s="275"/>
      <c r="Q708" s="276"/>
    </row>
    <row r="709" spans="1:18" s="288" customFormat="1" ht="53.25" thickBot="1" x14ac:dyDescent="0.3">
      <c r="A709" s="327"/>
      <c r="B709" s="1122" t="s">
        <v>579</v>
      </c>
      <c r="C709" s="1123"/>
      <c r="D709" s="1123"/>
      <c r="E709" s="1123"/>
      <c r="F709" s="1123"/>
      <c r="G709" s="1123"/>
      <c r="H709" s="1123"/>
      <c r="I709" s="1123"/>
      <c r="J709" s="1123"/>
      <c r="K709" s="1124"/>
      <c r="L709" s="1125">
        <f>SUM(L692,L707)</f>
        <v>879435.26126847463</v>
      </c>
      <c r="M709" s="1126"/>
      <c r="N709" s="1125">
        <f>SUM(N692,N707)</f>
        <v>3811405.7451547985</v>
      </c>
      <c r="O709" s="1126"/>
      <c r="P709" s="1125">
        <f>SUM(P692,P707)</f>
        <v>45853754.522538275</v>
      </c>
      <c r="Q709" s="1126"/>
      <c r="R709" s="351"/>
    </row>
    <row r="710" spans="1:18" s="288" customFormat="1" ht="39" thickBot="1" x14ac:dyDescent="0.3">
      <c r="A710" s="327"/>
      <c r="B710" s="1002" t="s">
        <v>835</v>
      </c>
      <c r="C710" s="1003"/>
      <c r="D710" s="1003"/>
      <c r="E710" s="1003"/>
      <c r="F710" s="1003"/>
      <c r="G710" s="1003"/>
      <c r="H710" s="1003"/>
      <c r="I710" s="1003"/>
      <c r="J710" s="1003"/>
      <c r="K710" s="1004"/>
      <c r="L710" s="1005">
        <f>((((('Plantel produtivo'!D9*'Plantel produtivo'!D21)*'Plantel produtivo'!D23)*'Caracterização do sistema'!I62))/52.1429)</f>
        <v>10625.67482821247</v>
      </c>
      <c r="M710" s="1006"/>
      <c r="N710" s="1005">
        <f>((((('Plantel produtivo'!D9*'Plantel produtivo'!D21)*'Plantel produtivo'!D23)*'Caracterização do sistema'!I62))/12)</f>
        <v>46171.125</v>
      </c>
      <c r="O710" s="1006"/>
      <c r="P710" s="1005">
        <f>((((('Plantel produtivo'!D9*'Plantel produtivo'!D21)*'Plantel produtivo'!D23)*'Caracterização do sistema'!I62)))</f>
        <v>554053.5</v>
      </c>
      <c r="Q710" s="1006"/>
      <c r="R710" s="351"/>
    </row>
    <row r="711" spans="1:18" ht="58.5" customHeight="1" thickBot="1" x14ac:dyDescent="0.3">
      <c r="B711" s="1106" t="s">
        <v>580</v>
      </c>
      <c r="C711" s="1107"/>
      <c r="D711" s="1107"/>
      <c r="E711" s="1107"/>
      <c r="F711" s="1107"/>
      <c r="G711" s="1107"/>
      <c r="H711" s="1107"/>
      <c r="I711" s="1107"/>
      <c r="J711" s="1107"/>
      <c r="K711" s="1108"/>
      <c r="L711" s="1109">
        <f>((L709)/'Insumos e serviços'!$H$294)</f>
        <v>915.5200418229141</v>
      </c>
      <c r="M711" s="1110"/>
      <c r="N711" s="1109">
        <f>((N709)/('Insumos e serviços'!H294*4.345))</f>
        <v>913.18629417612817</v>
      </c>
      <c r="O711" s="1110"/>
      <c r="P711" s="1109">
        <f>(P709)/('Insumos e serviços'!$H$294*52.1429)</f>
        <v>915.46912390079467</v>
      </c>
      <c r="Q711" s="1110"/>
    </row>
    <row r="712" spans="1:18" ht="49.5" customHeight="1" thickBot="1" x14ac:dyDescent="0.3">
      <c r="B712" s="1130" t="s">
        <v>1083</v>
      </c>
      <c r="C712" s="1131"/>
      <c r="D712" s="1131"/>
      <c r="E712" s="1131"/>
      <c r="F712" s="1131"/>
      <c r="G712" s="1131"/>
      <c r="H712" s="1131"/>
      <c r="I712" s="1131"/>
      <c r="J712" s="1131"/>
      <c r="K712" s="1132"/>
      <c r="L712" s="1133">
        <f>(($L$709/('Insumos e serviços'!$H$294*'Plantel produtivo'!$D$67)))*18.75</f>
        <v>156.05455258345125</v>
      </c>
      <c r="M712" s="1134"/>
      <c r="N712" s="1135">
        <f>((N709/(('Insumos e serviços'!H293*4.345)*'Plantel produtivo'!$D$67)))*18.75</f>
        <v>155.65675468911274</v>
      </c>
      <c r="O712" s="1136"/>
      <c r="P712" s="1135">
        <f>((P709/('Insumos e serviços'!$H$294*52.1429*'Plantel produtivo'!$D$67)))*18.75</f>
        <v>156.04587339218091</v>
      </c>
      <c r="Q712" s="1136"/>
    </row>
    <row r="713" spans="1:18" ht="57" customHeight="1" thickBot="1" x14ac:dyDescent="0.3">
      <c r="B713" s="1114" t="s">
        <v>581</v>
      </c>
      <c r="C713" s="1115"/>
      <c r="D713" s="1115"/>
      <c r="E713" s="1115"/>
      <c r="F713" s="1115"/>
      <c r="G713" s="1115"/>
      <c r="H713" s="1115"/>
      <c r="I713" s="1115"/>
      <c r="J713" s="1115"/>
      <c r="K713" s="1116"/>
      <c r="L713" s="1117">
        <f>((L709/('Insumos e serviços'!$H$294*'Plantel produtivo'!$D$67)))</f>
        <v>8.3229094711174003</v>
      </c>
      <c r="M713" s="1118"/>
      <c r="N713" s="1119">
        <f>((N709/(('Insumos e serviços'!H294*4.345)*'Plantel produtivo'!$D$67)))</f>
        <v>8.3016935834193468</v>
      </c>
      <c r="O713" s="1120"/>
      <c r="P713" s="1119">
        <f>((P709/('Insumos e serviços'!$H$294*52.1429*'Plantel produtivo'!$D$67)))</f>
        <v>8.3224465809163153</v>
      </c>
      <c r="Q713" s="1120"/>
    </row>
    <row r="716" spans="1:18" x14ac:dyDescent="0.25">
      <c r="O716" s="350" t="s">
        <v>834</v>
      </c>
    </row>
  </sheetData>
  <sheetProtection algorithmName="SHA-512" hashValue="/Ip+PWs4QEmg9C25w895JScZXB0X0cvZa77qEWSTYqc1EBkO8jJV9gcyWPVxmxiKG/rLL+lC5Gw9Qv81ENEVpw==" saltValue="09oZ5UQerSwuqoz07NQJbw==" spinCount="100000" sheet="1" objects="1" scenarios="1"/>
  <mergeCells count="2129">
    <mergeCell ref="B713:K713"/>
    <mergeCell ref="L713:M713"/>
    <mergeCell ref="N713:O713"/>
    <mergeCell ref="P713:Q713"/>
    <mergeCell ref="N703:O703"/>
    <mergeCell ref="N704:O704"/>
    <mergeCell ref="N705:O705"/>
    <mergeCell ref="L697:M697"/>
    <mergeCell ref="L698:M698"/>
    <mergeCell ref="L699:M699"/>
    <mergeCell ref="L700:M700"/>
    <mergeCell ref="L701:M701"/>
    <mergeCell ref="L702:M702"/>
    <mergeCell ref="L703:M703"/>
    <mergeCell ref="L704:M704"/>
    <mergeCell ref="L705:M705"/>
    <mergeCell ref="L706:M706"/>
    <mergeCell ref="N706:O706"/>
    <mergeCell ref="P706:Q706"/>
    <mergeCell ref="B709:K709"/>
    <mergeCell ref="L709:M709"/>
    <mergeCell ref="N709:O709"/>
    <mergeCell ref="P709:Q709"/>
    <mergeCell ref="B707:K707"/>
    <mergeCell ref="L707:M707"/>
    <mergeCell ref="N702:O702"/>
    <mergeCell ref="B712:K712"/>
    <mergeCell ref="L712:M712"/>
    <mergeCell ref="N712:O712"/>
    <mergeCell ref="P712:Q712"/>
    <mergeCell ref="P696:Q696"/>
    <mergeCell ref="P697:Q697"/>
    <mergeCell ref="P698:Q698"/>
    <mergeCell ref="P699:Q699"/>
    <mergeCell ref="P700:Q700"/>
    <mergeCell ref="P701:Q701"/>
    <mergeCell ref="P702:Q702"/>
    <mergeCell ref="B694:K694"/>
    <mergeCell ref="L694:M694"/>
    <mergeCell ref="N694:O694"/>
    <mergeCell ref="P694:Q694"/>
    <mergeCell ref="P703:Q703"/>
    <mergeCell ref="P704:Q704"/>
    <mergeCell ref="P705:Q705"/>
    <mergeCell ref="B711:K711"/>
    <mergeCell ref="L711:M711"/>
    <mergeCell ref="N711:O711"/>
    <mergeCell ref="P711:Q711"/>
    <mergeCell ref="N707:O707"/>
    <mergeCell ref="P707:Q707"/>
    <mergeCell ref="L696:M696"/>
    <mergeCell ref="N696:O696"/>
    <mergeCell ref="N697:O697"/>
    <mergeCell ref="N698:O698"/>
    <mergeCell ref="N699:O699"/>
    <mergeCell ref="N700:O700"/>
    <mergeCell ref="N701:O701"/>
    <mergeCell ref="B692:K692"/>
    <mergeCell ref="L692:M692"/>
    <mergeCell ref="N692:O692"/>
    <mergeCell ref="P692:Q692"/>
    <mergeCell ref="L695:M695"/>
    <mergeCell ref="N695:O695"/>
    <mergeCell ref="P695:Q695"/>
    <mergeCell ref="L595:M595"/>
    <mergeCell ref="L596:M596"/>
    <mergeCell ref="L597:M597"/>
    <mergeCell ref="L598:M598"/>
    <mergeCell ref="L602:M602"/>
    <mergeCell ref="N595:O595"/>
    <mergeCell ref="N596:O596"/>
    <mergeCell ref="N597:O597"/>
    <mergeCell ref="N598:O598"/>
    <mergeCell ref="N602:O602"/>
    <mergeCell ref="P595:Q595"/>
    <mergeCell ref="P596:Q596"/>
    <mergeCell ref="P597:Q597"/>
    <mergeCell ref="P598:Q598"/>
    <mergeCell ref="P602:Q602"/>
    <mergeCell ref="B688:K688"/>
    <mergeCell ref="B623:K623"/>
    <mergeCell ref="L688:M688"/>
    <mergeCell ref="N688:O688"/>
    <mergeCell ref="P688:Q688"/>
    <mergeCell ref="B690:K690"/>
    <mergeCell ref="L690:M690"/>
    <mergeCell ref="N690:O690"/>
    <mergeCell ref="P690:Q690"/>
    <mergeCell ref="L691:M691"/>
    <mergeCell ref="N691:O691"/>
    <mergeCell ref="P691:Q691"/>
    <mergeCell ref="L684:M684"/>
    <mergeCell ref="N684:O684"/>
    <mergeCell ref="P684:Q684"/>
    <mergeCell ref="L685:M685"/>
    <mergeCell ref="N685:O685"/>
    <mergeCell ref="P685:Q685"/>
    <mergeCell ref="L686:M686"/>
    <mergeCell ref="N686:O686"/>
    <mergeCell ref="P686:Q686"/>
    <mergeCell ref="B682:K682"/>
    <mergeCell ref="L682:M682"/>
    <mergeCell ref="N682:O682"/>
    <mergeCell ref="P682:Q682"/>
    <mergeCell ref="L670:M670"/>
    <mergeCell ref="N670:O670"/>
    <mergeCell ref="P670:Q670"/>
    <mergeCell ref="N674:O674"/>
    <mergeCell ref="P674:Q674"/>
    <mergeCell ref="L675:M675"/>
    <mergeCell ref="N675:O675"/>
    <mergeCell ref="P675:Q675"/>
    <mergeCell ref="L676:M676"/>
    <mergeCell ref="N676:O676"/>
    <mergeCell ref="P676:Q676"/>
    <mergeCell ref="L677:M677"/>
    <mergeCell ref="N677:O677"/>
    <mergeCell ref="P677:Q677"/>
    <mergeCell ref="B681:K681"/>
    <mergeCell ref="L681:M681"/>
    <mergeCell ref="N681:O681"/>
    <mergeCell ref="P681:Q681"/>
    <mergeCell ref="L619:M619"/>
    <mergeCell ref="L623:M623"/>
    <mergeCell ref="N615:O615"/>
    <mergeCell ref="P615:Q615"/>
    <mergeCell ref="N612:O612"/>
    <mergeCell ref="P612:Q612"/>
    <mergeCell ref="N613:O613"/>
    <mergeCell ref="P613:Q613"/>
    <mergeCell ref="N614:O614"/>
    <mergeCell ref="P614:Q614"/>
    <mergeCell ref="N609:O609"/>
    <mergeCell ref="P609:Q609"/>
    <mergeCell ref="B499:K499"/>
    <mergeCell ref="L645:M645"/>
    <mergeCell ref="L635:M635"/>
    <mergeCell ref="L591:M591"/>
    <mergeCell ref="L592:M592"/>
    <mergeCell ref="L593:M593"/>
    <mergeCell ref="L541:M541"/>
    <mergeCell ref="P626:Q626"/>
    <mergeCell ref="N627:O627"/>
    <mergeCell ref="P627:Q627"/>
    <mergeCell ref="N628:O628"/>
    <mergeCell ref="P628:Q628"/>
    <mergeCell ref="N629:O629"/>
    <mergeCell ref="P629:Q629"/>
    <mergeCell ref="N630:O630"/>
    <mergeCell ref="P630:Q630"/>
    <mergeCell ref="N634:O634"/>
    <mergeCell ref="B602:K602"/>
    <mergeCell ref="L603:M603"/>
    <mergeCell ref="L646:M646"/>
    <mergeCell ref="L647:M647"/>
    <mergeCell ref="L648:M648"/>
    <mergeCell ref="L649:M649"/>
    <mergeCell ref="L650:M650"/>
    <mergeCell ref="L651:M651"/>
    <mergeCell ref="L652:M652"/>
    <mergeCell ref="L656:M656"/>
    <mergeCell ref="L657:M657"/>
    <mergeCell ref="L658:M658"/>
    <mergeCell ref="P603:Q603"/>
    <mergeCell ref="L604:M604"/>
    <mergeCell ref="N604:O604"/>
    <mergeCell ref="P604:Q604"/>
    <mergeCell ref="L605:M605"/>
    <mergeCell ref="N605:O605"/>
    <mergeCell ref="L606:M606"/>
    <mergeCell ref="L607:M607"/>
    <mergeCell ref="L608:M608"/>
    <mergeCell ref="L609:M609"/>
    <mergeCell ref="L610:M610"/>
    <mergeCell ref="L611:M611"/>
    <mergeCell ref="L612:M612"/>
    <mergeCell ref="L613:M613"/>
    <mergeCell ref="L614:M614"/>
    <mergeCell ref="L615:M615"/>
    <mergeCell ref="L626:M626"/>
    <mergeCell ref="L627:M627"/>
    <mergeCell ref="L628:M628"/>
    <mergeCell ref="L629:M629"/>
    <mergeCell ref="L630:M630"/>
    <mergeCell ref="L634:M634"/>
    <mergeCell ref="B634:K634"/>
    <mergeCell ref="B644:K644"/>
    <mergeCell ref="L624:M624"/>
    <mergeCell ref="L625:M625"/>
    <mergeCell ref="L636:M636"/>
    <mergeCell ref="L637:M637"/>
    <mergeCell ref="L638:M638"/>
    <mergeCell ref="L639:M639"/>
    <mergeCell ref="L640:M640"/>
    <mergeCell ref="L644:M644"/>
    <mergeCell ref="L594:M594"/>
    <mergeCell ref="B539:K539"/>
    <mergeCell ref="L569:M569"/>
    <mergeCell ref="L570:M570"/>
    <mergeCell ref="L571:M571"/>
    <mergeCell ref="L572:M572"/>
    <mergeCell ref="L573:M573"/>
    <mergeCell ref="L574:M574"/>
    <mergeCell ref="L578:M578"/>
    <mergeCell ref="L579:M579"/>
    <mergeCell ref="L580:M580"/>
    <mergeCell ref="L581:M581"/>
    <mergeCell ref="L582:M582"/>
    <mergeCell ref="L583:M583"/>
    <mergeCell ref="L584:M584"/>
    <mergeCell ref="L585:M585"/>
    <mergeCell ref="L586:M586"/>
    <mergeCell ref="L590:M590"/>
    <mergeCell ref="L616:M616"/>
    <mergeCell ref="L617:M617"/>
    <mergeCell ref="L618:M618"/>
    <mergeCell ref="L543:M543"/>
    <mergeCell ref="N669:O669"/>
    <mergeCell ref="P669:Q669"/>
    <mergeCell ref="N663:O663"/>
    <mergeCell ref="P663:Q663"/>
    <mergeCell ref="N667:O667"/>
    <mergeCell ref="P667:Q667"/>
    <mergeCell ref="N668:O668"/>
    <mergeCell ref="P668:Q668"/>
    <mergeCell ref="L668:M668"/>
    <mergeCell ref="N660:O660"/>
    <mergeCell ref="P660:Q660"/>
    <mergeCell ref="N661:O661"/>
    <mergeCell ref="P661:Q661"/>
    <mergeCell ref="N662:O662"/>
    <mergeCell ref="P662:Q662"/>
    <mergeCell ref="N657:O657"/>
    <mergeCell ref="P657:Q657"/>
    <mergeCell ref="N658:O658"/>
    <mergeCell ref="P658:Q658"/>
    <mergeCell ref="N659:O659"/>
    <mergeCell ref="P659:Q659"/>
    <mergeCell ref="L659:M659"/>
    <mergeCell ref="L660:M660"/>
    <mergeCell ref="L661:M661"/>
    <mergeCell ref="L662:M662"/>
    <mergeCell ref="L663:M663"/>
    <mergeCell ref="L669:M669"/>
    <mergeCell ref="N651:O651"/>
    <mergeCell ref="P651:Q651"/>
    <mergeCell ref="N652:O652"/>
    <mergeCell ref="P652:Q652"/>
    <mergeCell ref="N656:O656"/>
    <mergeCell ref="P656:Q656"/>
    <mergeCell ref="P647:Q647"/>
    <mergeCell ref="N648:O648"/>
    <mergeCell ref="P648:Q648"/>
    <mergeCell ref="N649:O649"/>
    <mergeCell ref="P649:Q649"/>
    <mergeCell ref="N650:O650"/>
    <mergeCell ref="P650:Q650"/>
    <mergeCell ref="N637:O637"/>
    <mergeCell ref="P637:Q637"/>
    <mergeCell ref="N638:O638"/>
    <mergeCell ref="P638:Q638"/>
    <mergeCell ref="N639:O639"/>
    <mergeCell ref="P639:Q639"/>
    <mergeCell ref="N640:O640"/>
    <mergeCell ref="P640:Q640"/>
    <mergeCell ref="N644:O644"/>
    <mergeCell ref="P644:Q644"/>
    <mergeCell ref="N645:O645"/>
    <mergeCell ref="P645:Q645"/>
    <mergeCell ref="N646:O646"/>
    <mergeCell ref="P646:Q646"/>
    <mergeCell ref="N647:O647"/>
    <mergeCell ref="N641:O641"/>
    <mergeCell ref="N642:O642"/>
    <mergeCell ref="N643:O643"/>
    <mergeCell ref="N653:O653"/>
    <mergeCell ref="N654:O654"/>
    <mergeCell ref="N655:O655"/>
    <mergeCell ref="P641:Q641"/>
    <mergeCell ref="P642:Q642"/>
    <mergeCell ref="P634:Q634"/>
    <mergeCell ref="N635:O635"/>
    <mergeCell ref="P635:Q635"/>
    <mergeCell ref="N636:O636"/>
    <mergeCell ref="P636:Q636"/>
    <mergeCell ref="N616:O616"/>
    <mergeCell ref="P616:Q616"/>
    <mergeCell ref="N617:O617"/>
    <mergeCell ref="P617:Q617"/>
    <mergeCell ref="N618:O618"/>
    <mergeCell ref="P618:Q618"/>
    <mergeCell ref="N619:O619"/>
    <mergeCell ref="P619:Q619"/>
    <mergeCell ref="N623:O623"/>
    <mergeCell ref="P623:Q623"/>
    <mergeCell ref="N624:O624"/>
    <mergeCell ref="P624:Q624"/>
    <mergeCell ref="N625:O625"/>
    <mergeCell ref="P625:Q625"/>
    <mergeCell ref="N626:O626"/>
    <mergeCell ref="N620:O620"/>
    <mergeCell ref="N621:O621"/>
    <mergeCell ref="N622:O622"/>
    <mergeCell ref="N631:O631"/>
    <mergeCell ref="N632:O632"/>
    <mergeCell ref="N633:O633"/>
    <mergeCell ref="P620:Q620"/>
    <mergeCell ref="P621:Q621"/>
    <mergeCell ref="P622:Q622"/>
    <mergeCell ref="P631:Q631"/>
    <mergeCell ref="P632:Q632"/>
    <mergeCell ref="P633:Q633"/>
    <mergeCell ref="N610:O610"/>
    <mergeCell ref="P610:Q610"/>
    <mergeCell ref="N611:O611"/>
    <mergeCell ref="P611:Q611"/>
    <mergeCell ref="P605:Q605"/>
    <mergeCell ref="N606:O606"/>
    <mergeCell ref="P606:Q606"/>
    <mergeCell ref="N607:O607"/>
    <mergeCell ref="P607:Q607"/>
    <mergeCell ref="N608:O608"/>
    <mergeCell ref="P608:Q608"/>
    <mergeCell ref="N594:O594"/>
    <mergeCell ref="P594:Q594"/>
    <mergeCell ref="N591:O591"/>
    <mergeCell ref="P591:Q591"/>
    <mergeCell ref="N592:O592"/>
    <mergeCell ref="P592:Q592"/>
    <mergeCell ref="N593:O593"/>
    <mergeCell ref="P593:Q593"/>
    <mergeCell ref="N599:O599"/>
    <mergeCell ref="N600:O600"/>
    <mergeCell ref="N601:O601"/>
    <mergeCell ref="P599:Q599"/>
    <mergeCell ref="P600:Q600"/>
    <mergeCell ref="P601:Q601"/>
    <mergeCell ref="N603:O603"/>
    <mergeCell ref="N585:O585"/>
    <mergeCell ref="P585:Q585"/>
    <mergeCell ref="N586:O586"/>
    <mergeCell ref="P586:Q586"/>
    <mergeCell ref="N590:O590"/>
    <mergeCell ref="P590:Q590"/>
    <mergeCell ref="N582:O582"/>
    <mergeCell ref="P582:Q582"/>
    <mergeCell ref="N583:O583"/>
    <mergeCell ref="P583:Q583"/>
    <mergeCell ref="N584:O584"/>
    <mergeCell ref="P584:Q584"/>
    <mergeCell ref="N580:O580"/>
    <mergeCell ref="P580:Q580"/>
    <mergeCell ref="N581:O581"/>
    <mergeCell ref="P581:Q581"/>
    <mergeCell ref="N587:O587"/>
    <mergeCell ref="N588:O588"/>
    <mergeCell ref="N589:O589"/>
    <mergeCell ref="P587:Q587"/>
    <mergeCell ref="P588:Q588"/>
    <mergeCell ref="P589:Q589"/>
    <mergeCell ref="N574:O574"/>
    <mergeCell ref="P574:Q574"/>
    <mergeCell ref="N578:O578"/>
    <mergeCell ref="P578:Q578"/>
    <mergeCell ref="N579:O579"/>
    <mergeCell ref="P579:Q579"/>
    <mergeCell ref="L576:M576"/>
    <mergeCell ref="L577:M577"/>
    <mergeCell ref="B500:K500"/>
    <mergeCell ref="B506:K506"/>
    <mergeCell ref="B512:K512"/>
    <mergeCell ref="B514:K514"/>
    <mergeCell ref="B516:K516"/>
    <mergeCell ref="B518:K518"/>
    <mergeCell ref="B527:K527"/>
    <mergeCell ref="L551:M551"/>
    <mergeCell ref="L552:M552"/>
    <mergeCell ref="L553:M553"/>
    <mergeCell ref="L554:M554"/>
    <mergeCell ref="L558:M558"/>
    <mergeCell ref="L559:M559"/>
    <mergeCell ref="L560:M560"/>
    <mergeCell ref="L561:M561"/>
    <mergeCell ref="L562:M562"/>
    <mergeCell ref="L542:M542"/>
    <mergeCell ref="L529:M529"/>
    <mergeCell ref="L511:M511"/>
    <mergeCell ref="L513:M513"/>
    <mergeCell ref="L515:M515"/>
    <mergeCell ref="L530:M530"/>
    <mergeCell ref="L531:M531"/>
    <mergeCell ref="L532:M532"/>
    <mergeCell ref="L533:M533"/>
    <mergeCell ref="L534:M534"/>
    <mergeCell ref="L535:M535"/>
    <mergeCell ref="L540:M540"/>
    <mergeCell ref="L501:M501"/>
    <mergeCell ref="L502:M502"/>
    <mergeCell ref="P554:Q554"/>
    <mergeCell ref="P558:Q558"/>
    <mergeCell ref="P559:Q559"/>
    <mergeCell ref="P560:Q560"/>
    <mergeCell ref="P561:Q561"/>
    <mergeCell ref="P541:Q541"/>
    <mergeCell ref="N571:O571"/>
    <mergeCell ref="P571:Q571"/>
    <mergeCell ref="N572:O572"/>
    <mergeCell ref="P572:Q572"/>
    <mergeCell ref="N573:O573"/>
    <mergeCell ref="P573:Q573"/>
    <mergeCell ref="N569:O569"/>
    <mergeCell ref="P569:Q569"/>
    <mergeCell ref="N570:O570"/>
    <mergeCell ref="P570:Q570"/>
    <mergeCell ref="L563:M563"/>
    <mergeCell ref="L564:M564"/>
    <mergeCell ref="L568:M568"/>
    <mergeCell ref="N564:O564"/>
    <mergeCell ref="L544:M544"/>
    <mergeCell ref="L545:M545"/>
    <mergeCell ref="L546:M546"/>
    <mergeCell ref="L547:M547"/>
    <mergeCell ref="L548:M548"/>
    <mergeCell ref="L549:M549"/>
    <mergeCell ref="L550:M550"/>
    <mergeCell ref="N561:O561"/>
    <mergeCell ref="N562:O562"/>
    <mergeCell ref="N563:O563"/>
    <mergeCell ref="P532:Q532"/>
    <mergeCell ref="P533:Q533"/>
    <mergeCell ref="P534:Q534"/>
    <mergeCell ref="P535:Q535"/>
    <mergeCell ref="P540:Q540"/>
    <mergeCell ref="P550:Q550"/>
    <mergeCell ref="P542:Q542"/>
    <mergeCell ref="P543:Q543"/>
    <mergeCell ref="P544:Q544"/>
    <mergeCell ref="P545:Q545"/>
    <mergeCell ref="P546:Q546"/>
    <mergeCell ref="P547:Q547"/>
    <mergeCell ref="P548:Q548"/>
    <mergeCell ref="L470:M470"/>
    <mergeCell ref="L471:M471"/>
    <mergeCell ref="L472:M472"/>
    <mergeCell ref="L473:M473"/>
    <mergeCell ref="L474:M474"/>
    <mergeCell ref="L475:M475"/>
    <mergeCell ref="L476:M476"/>
    <mergeCell ref="L480:M480"/>
    <mergeCell ref="L481:M481"/>
    <mergeCell ref="L482:M482"/>
    <mergeCell ref="L483:M483"/>
    <mergeCell ref="L520:M520"/>
    <mergeCell ref="L521:M521"/>
    <mergeCell ref="L522:M522"/>
    <mergeCell ref="L523:M523"/>
    <mergeCell ref="L524:M524"/>
    <mergeCell ref="L525:M525"/>
    <mergeCell ref="L517:M517"/>
    <mergeCell ref="L519:M519"/>
    <mergeCell ref="L504:M504"/>
    <mergeCell ref="L505:M505"/>
    <mergeCell ref="L507:M507"/>
    <mergeCell ref="L508:M508"/>
    <mergeCell ref="L509:M509"/>
    <mergeCell ref="L510:M510"/>
    <mergeCell ref="P471:Q471"/>
    <mergeCell ref="P472:Q472"/>
    <mergeCell ref="P473:Q473"/>
    <mergeCell ref="P474:Q474"/>
    <mergeCell ref="P475:Q475"/>
    <mergeCell ref="P476:Q476"/>
    <mergeCell ref="P480:Q480"/>
    <mergeCell ref="P481:Q481"/>
    <mergeCell ref="P514:Q514"/>
    <mergeCell ref="N516:O516"/>
    <mergeCell ref="P516:Q516"/>
    <mergeCell ref="P493:Q493"/>
    <mergeCell ref="N483:O483"/>
    <mergeCell ref="N487:O487"/>
    <mergeCell ref="N488:O488"/>
    <mergeCell ref="N489:O489"/>
    <mergeCell ref="N490:O490"/>
    <mergeCell ref="N494:O494"/>
    <mergeCell ref="P517:Q517"/>
    <mergeCell ref="P500:Q500"/>
    <mergeCell ref="P501:Q501"/>
    <mergeCell ref="P502:Q502"/>
    <mergeCell ref="P504:Q504"/>
    <mergeCell ref="P505:Q505"/>
    <mergeCell ref="P507:Q507"/>
    <mergeCell ref="P508:Q508"/>
    <mergeCell ref="P509:Q509"/>
    <mergeCell ref="P519:Q519"/>
    <mergeCell ref="P520:Q520"/>
    <mergeCell ref="P521:Q521"/>
    <mergeCell ref="P522:Q522"/>
    <mergeCell ref="P523:Q523"/>
    <mergeCell ref="N520:O520"/>
    <mergeCell ref="N513:O513"/>
    <mergeCell ref="N515:O515"/>
    <mergeCell ref="N517:O517"/>
    <mergeCell ref="N500:O500"/>
    <mergeCell ref="N501:O501"/>
    <mergeCell ref="N502:O502"/>
    <mergeCell ref="N504:O504"/>
    <mergeCell ref="N509:O509"/>
    <mergeCell ref="N510:O510"/>
    <mergeCell ref="N511:O511"/>
    <mergeCell ref="N518:O518"/>
    <mergeCell ref="N522:O522"/>
    <mergeCell ref="N523:O523"/>
    <mergeCell ref="N519:O519"/>
    <mergeCell ref="P529:Q529"/>
    <mergeCell ref="P530:Q530"/>
    <mergeCell ref="P531:Q531"/>
    <mergeCell ref="P549:Q549"/>
    <mergeCell ref="P482:Q482"/>
    <mergeCell ref="P483:Q483"/>
    <mergeCell ref="N549:O549"/>
    <mergeCell ref="N550:O550"/>
    <mergeCell ref="N551:O551"/>
    <mergeCell ref="N552:O552"/>
    <mergeCell ref="N553:O553"/>
    <mergeCell ref="N554:O554"/>
    <mergeCell ref="N558:O558"/>
    <mergeCell ref="N559:O559"/>
    <mergeCell ref="N560:O560"/>
    <mergeCell ref="N540:O540"/>
    <mergeCell ref="N541:O541"/>
    <mergeCell ref="N542:O542"/>
    <mergeCell ref="N543:O543"/>
    <mergeCell ref="N544:O544"/>
    <mergeCell ref="N545:O545"/>
    <mergeCell ref="N546:O546"/>
    <mergeCell ref="N547:O547"/>
    <mergeCell ref="N548:O548"/>
    <mergeCell ref="N529:O529"/>
    <mergeCell ref="N530:O530"/>
    <mergeCell ref="N531:O531"/>
    <mergeCell ref="N532:O532"/>
    <mergeCell ref="N533:O533"/>
    <mergeCell ref="N534:O534"/>
    <mergeCell ref="N535:O535"/>
    <mergeCell ref="P524:Q524"/>
    <mergeCell ref="P525:Q525"/>
    <mergeCell ref="P510:Q510"/>
    <mergeCell ref="P511:Q511"/>
    <mergeCell ref="P557:Q557"/>
    <mergeCell ref="N469:O469"/>
    <mergeCell ref="N470:O470"/>
    <mergeCell ref="L449:M449"/>
    <mergeCell ref="L450:M450"/>
    <mergeCell ref="L451:M451"/>
    <mergeCell ref="L452:M452"/>
    <mergeCell ref="L453:M453"/>
    <mergeCell ref="L457:M457"/>
    <mergeCell ref="L458:M458"/>
    <mergeCell ref="N505:O505"/>
    <mergeCell ref="N507:O507"/>
    <mergeCell ref="N508:O508"/>
    <mergeCell ref="N496:O496"/>
    <mergeCell ref="N497:O497"/>
    <mergeCell ref="N498:O498"/>
    <mergeCell ref="N471:O471"/>
    <mergeCell ref="N472:O472"/>
    <mergeCell ref="N473:O473"/>
    <mergeCell ref="N474:O474"/>
    <mergeCell ref="N475:O475"/>
    <mergeCell ref="N476:O476"/>
    <mergeCell ref="N480:O480"/>
    <mergeCell ref="N481:O481"/>
    <mergeCell ref="N482:O482"/>
    <mergeCell ref="L500:M500"/>
    <mergeCell ref="L459:M459"/>
    <mergeCell ref="L460:M460"/>
    <mergeCell ref="N521:O521"/>
    <mergeCell ref="P458:Q458"/>
    <mergeCell ref="N458:O458"/>
    <mergeCell ref="P449:Q449"/>
    <mergeCell ref="P450:Q450"/>
    <mergeCell ref="P451:Q451"/>
    <mergeCell ref="P452:Q452"/>
    <mergeCell ref="P453:Q453"/>
    <mergeCell ref="P457:Q457"/>
    <mergeCell ref="N449:O449"/>
    <mergeCell ref="N450:O450"/>
    <mergeCell ref="N451:O451"/>
    <mergeCell ref="N452:O452"/>
    <mergeCell ref="N453:O453"/>
    <mergeCell ref="N457:O457"/>
    <mergeCell ref="N460:O460"/>
    <mergeCell ref="N524:O524"/>
    <mergeCell ref="N525:O525"/>
    <mergeCell ref="P487:Q487"/>
    <mergeCell ref="P488:Q488"/>
    <mergeCell ref="P513:Q513"/>
    <mergeCell ref="P515:Q515"/>
    <mergeCell ref="P489:Q489"/>
    <mergeCell ref="P490:Q490"/>
    <mergeCell ref="P494:Q494"/>
    <mergeCell ref="P496:Q496"/>
    <mergeCell ref="P497:Q497"/>
    <mergeCell ref="P498:Q498"/>
    <mergeCell ref="P499:Q499"/>
    <mergeCell ref="P518:Q518"/>
    <mergeCell ref="N499:O499"/>
    <mergeCell ref="P469:Q469"/>
    <mergeCell ref="P470:Q470"/>
    <mergeCell ref="L467:M467"/>
    <mergeCell ref="L468:M468"/>
    <mergeCell ref="N466:O466"/>
    <mergeCell ref="N467:O467"/>
    <mergeCell ref="N461:O461"/>
    <mergeCell ref="N462:O462"/>
    <mergeCell ref="N463:O463"/>
    <mergeCell ref="N464:O464"/>
    <mergeCell ref="N465:O465"/>
    <mergeCell ref="P459:Q459"/>
    <mergeCell ref="P460:Q460"/>
    <mergeCell ref="P461:Q461"/>
    <mergeCell ref="P462:Q462"/>
    <mergeCell ref="P463:Q463"/>
    <mergeCell ref="P464:Q464"/>
    <mergeCell ref="P465:Q465"/>
    <mergeCell ref="N437:O437"/>
    <mergeCell ref="L438:M438"/>
    <mergeCell ref="L439:M439"/>
    <mergeCell ref="L440:M440"/>
    <mergeCell ref="L441:M441"/>
    <mergeCell ref="L442:M442"/>
    <mergeCell ref="L443:M443"/>
    <mergeCell ref="L447:M447"/>
    <mergeCell ref="N438:O438"/>
    <mergeCell ref="N439:O439"/>
    <mergeCell ref="N440:O440"/>
    <mergeCell ref="N441:O441"/>
    <mergeCell ref="N442:O442"/>
    <mergeCell ref="N443:O443"/>
    <mergeCell ref="N447:O447"/>
    <mergeCell ref="N459:O459"/>
    <mergeCell ref="N425:O425"/>
    <mergeCell ref="N431:O431"/>
    <mergeCell ref="N432:O432"/>
    <mergeCell ref="N436:O436"/>
    <mergeCell ref="P424:Q424"/>
    <mergeCell ref="P425:Q425"/>
    <mergeCell ref="P431:Q431"/>
    <mergeCell ref="P432:Q432"/>
    <mergeCell ref="P436:Q436"/>
    <mergeCell ref="B340:K340"/>
    <mergeCell ref="B352:K352"/>
    <mergeCell ref="B415:K415"/>
    <mergeCell ref="B436:K436"/>
    <mergeCell ref="L361:M361"/>
    <mergeCell ref="L362:M362"/>
    <mergeCell ref="L363:M363"/>
    <mergeCell ref="L364:M364"/>
    <mergeCell ref="L365:M365"/>
    <mergeCell ref="L366:M366"/>
    <mergeCell ref="L355:M355"/>
    <mergeCell ref="L356:M356"/>
    <mergeCell ref="L357:M357"/>
    <mergeCell ref="L358:M358"/>
    <mergeCell ref="L359:M359"/>
    <mergeCell ref="L360:M360"/>
    <mergeCell ref="L372:M372"/>
    <mergeCell ref="L373:M373"/>
    <mergeCell ref="L374:M374"/>
    <mergeCell ref="L375:M375"/>
    <mergeCell ref="L393:M393"/>
    <mergeCell ref="L394:M394"/>
    <mergeCell ref="L354:M354"/>
    <mergeCell ref="B447:K447"/>
    <mergeCell ref="B457:K457"/>
    <mergeCell ref="B494:K494"/>
    <mergeCell ref="L429:M429"/>
    <mergeCell ref="N429:O429"/>
    <mergeCell ref="P429:Q429"/>
    <mergeCell ref="L430:M430"/>
    <mergeCell ref="N430:O430"/>
    <mergeCell ref="P430:Q430"/>
    <mergeCell ref="L424:M424"/>
    <mergeCell ref="L425:M425"/>
    <mergeCell ref="L426:M426"/>
    <mergeCell ref="N426:O426"/>
    <mergeCell ref="P426:Q426"/>
    <mergeCell ref="L427:M427"/>
    <mergeCell ref="N427:O427"/>
    <mergeCell ref="P427:Q427"/>
    <mergeCell ref="L428:M428"/>
    <mergeCell ref="N428:O428"/>
    <mergeCell ref="P428:Q428"/>
    <mergeCell ref="L448:M448"/>
    <mergeCell ref="N448:O448"/>
    <mergeCell ref="P448:Q448"/>
    <mergeCell ref="P437:Q437"/>
    <mergeCell ref="P438:Q438"/>
    <mergeCell ref="P439:Q439"/>
    <mergeCell ref="N444:O444"/>
    <mergeCell ref="N445:O445"/>
    <mergeCell ref="N446:O446"/>
    <mergeCell ref="N454:O454"/>
    <mergeCell ref="N455:O455"/>
    <mergeCell ref="N456:O456"/>
    <mergeCell ref="P440:Q440"/>
    <mergeCell ref="P441:Q441"/>
    <mergeCell ref="P442:Q442"/>
    <mergeCell ref="P443:Q443"/>
    <mergeCell ref="P447:Q447"/>
    <mergeCell ref="L437:M437"/>
    <mergeCell ref="B329:K329"/>
    <mergeCell ref="B331:K331"/>
    <mergeCell ref="B264:K264"/>
    <mergeCell ref="B268:K268"/>
    <mergeCell ref="B272:K272"/>
    <mergeCell ref="B280:K280"/>
    <mergeCell ref="B295:K295"/>
    <mergeCell ref="B296:K296"/>
    <mergeCell ref="B302:K302"/>
    <mergeCell ref="B306:K306"/>
    <mergeCell ref="B312:K312"/>
    <mergeCell ref="B313:K313"/>
    <mergeCell ref="B319:K319"/>
    <mergeCell ref="B325:K325"/>
    <mergeCell ref="B327:K327"/>
    <mergeCell ref="L318:M318"/>
    <mergeCell ref="L274:M274"/>
    <mergeCell ref="L275:M275"/>
    <mergeCell ref="L276:M276"/>
    <mergeCell ref="L277:M277"/>
    <mergeCell ref="L278:M278"/>
    <mergeCell ref="L280:M280"/>
    <mergeCell ref="L266:M266"/>
    <mergeCell ref="L268:M268"/>
    <mergeCell ref="L269:M269"/>
    <mergeCell ref="L270:M270"/>
    <mergeCell ref="B254:K254"/>
    <mergeCell ref="B260:K260"/>
    <mergeCell ref="B288:K288"/>
    <mergeCell ref="B290:K290"/>
    <mergeCell ref="B292:K292"/>
    <mergeCell ref="B284:K284"/>
    <mergeCell ref="B286:K286"/>
    <mergeCell ref="L8:M8"/>
    <mergeCell ref="L9:M9"/>
    <mergeCell ref="L10:M10"/>
    <mergeCell ref="L12:M12"/>
    <mergeCell ref="L51:M51"/>
    <mergeCell ref="L20:M20"/>
    <mergeCell ref="L21:M21"/>
    <mergeCell ref="L22:M22"/>
    <mergeCell ref="L23:M23"/>
    <mergeCell ref="L24:M24"/>
    <mergeCell ref="L25:M25"/>
    <mergeCell ref="L26:M26"/>
    <mergeCell ref="L27:M27"/>
    <mergeCell ref="B49:K49"/>
    <mergeCell ref="L49:M49"/>
    <mergeCell ref="L11:M11"/>
    <mergeCell ref="L13:M13"/>
    <mergeCell ref="L14:M14"/>
    <mergeCell ref="L15:M15"/>
    <mergeCell ref="L16:M16"/>
    <mergeCell ref="L17:M17"/>
    <mergeCell ref="L18:M18"/>
    <mergeCell ref="B24:K24"/>
    <mergeCell ref="B36:K36"/>
    <mergeCell ref="B42:K42"/>
    <mergeCell ref="L31:M31"/>
    <mergeCell ref="L32:M32"/>
    <mergeCell ref="L33:M33"/>
    <mergeCell ref="N52:O52"/>
    <mergeCell ref="N54:O54"/>
    <mergeCell ref="N55:O55"/>
    <mergeCell ref="N56:O56"/>
    <mergeCell ref="L44:M44"/>
    <mergeCell ref="L45:M45"/>
    <mergeCell ref="L46:M46"/>
    <mergeCell ref="L47:M47"/>
    <mergeCell ref="L48:M48"/>
    <mergeCell ref="L52:M52"/>
    <mergeCell ref="L34:M34"/>
    <mergeCell ref="L35:M35"/>
    <mergeCell ref="L36:M36"/>
    <mergeCell ref="L43:M43"/>
    <mergeCell ref="N38:O38"/>
    <mergeCell ref="N45:O45"/>
    <mergeCell ref="N46:O46"/>
    <mergeCell ref="N47:O47"/>
    <mergeCell ref="N48:O48"/>
    <mergeCell ref="N49:O49"/>
    <mergeCell ref="N51:O51"/>
    <mergeCell ref="N39:O39"/>
    <mergeCell ref="N40:O40"/>
    <mergeCell ref="N41:O41"/>
    <mergeCell ref="N42:O42"/>
    <mergeCell ref="L54:M54"/>
    <mergeCell ref="L55:M55"/>
    <mergeCell ref="L56:M56"/>
    <mergeCell ref="L38:M38"/>
    <mergeCell ref="P3:Q3"/>
    <mergeCell ref="B1:Q1"/>
    <mergeCell ref="N4:O4"/>
    <mergeCell ref="N6:O6"/>
    <mergeCell ref="N7:O7"/>
    <mergeCell ref="N8:O8"/>
    <mergeCell ref="P4:Q4"/>
    <mergeCell ref="P6:Q6"/>
    <mergeCell ref="P7:Q7"/>
    <mergeCell ref="P8:Q8"/>
    <mergeCell ref="B10:K10"/>
    <mergeCell ref="L4:M4"/>
    <mergeCell ref="L6:M6"/>
    <mergeCell ref="L7:M7"/>
    <mergeCell ref="L3:M3"/>
    <mergeCell ref="B3:K3"/>
    <mergeCell ref="N23:O23"/>
    <mergeCell ref="P9:Q9"/>
    <mergeCell ref="P10:Q10"/>
    <mergeCell ref="P11:Q11"/>
    <mergeCell ref="P12:Q12"/>
    <mergeCell ref="N11:O11"/>
    <mergeCell ref="N12:O12"/>
    <mergeCell ref="N13:O13"/>
    <mergeCell ref="N14:O14"/>
    <mergeCell ref="N15:O15"/>
    <mergeCell ref="N16:O16"/>
    <mergeCell ref="P15:Q15"/>
    <mergeCell ref="P16:Q16"/>
    <mergeCell ref="P17:Q17"/>
    <mergeCell ref="P18:Q18"/>
    <mergeCell ref="P19:Q19"/>
    <mergeCell ref="L39:M39"/>
    <mergeCell ref="L40:M40"/>
    <mergeCell ref="L41:M41"/>
    <mergeCell ref="B48:K48"/>
    <mergeCell ref="L37:M37"/>
    <mergeCell ref="L29:M29"/>
    <mergeCell ref="L30:M30"/>
    <mergeCell ref="L42:M42"/>
    <mergeCell ref="L28:M28"/>
    <mergeCell ref="P13:Q13"/>
    <mergeCell ref="P14:Q14"/>
    <mergeCell ref="N3:O3"/>
    <mergeCell ref="N9:O9"/>
    <mergeCell ref="N10:O10"/>
    <mergeCell ref="L19:M19"/>
    <mergeCell ref="N17:O17"/>
    <mergeCell ref="N18:O18"/>
    <mergeCell ref="N19:O19"/>
    <mergeCell ref="N20:O20"/>
    <mergeCell ref="N21:O21"/>
    <mergeCell ref="N22:O22"/>
    <mergeCell ref="N33:O33"/>
    <mergeCell ref="N34:O34"/>
    <mergeCell ref="N35:O35"/>
    <mergeCell ref="N36:O36"/>
    <mergeCell ref="N37:O37"/>
    <mergeCell ref="N28:O28"/>
    <mergeCell ref="N29:O29"/>
    <mergeCell ref="N30:O30"/>
    <mergeCell ref="N31:O31"/>
    <mergeCell ref="N32:O32"/>
    <mergeCell ref="P33:Q33"/>
    <mergeCell ref="P20:Q20"/>
    <mergeCell ref="P27:Q27"/>
    <mergeCell ref="P28:Q28"/>
    <mergeCell ref="P29:Q29"/>
    <mergeCell ref="P30:Q30"/>
    <mergeCell ref="P21:Q21"/>
    <mergeCell ref="P22:Q22"/>
    <mergeCell ref="P23:Q23"/>
    <mergeCell ref="P24:Q24"/>
    <mergeCell ref="P25:Q25"/>
    <mergeCell ref="P26:Q26"/>
    <mergeCell ref="N24:O24"/>
    <mergeCell ref="N25:O25"/>
    <mergeCell ref="P37:Q37"/>
    <mergeCell ref="P38:Q38"/>
    <mergeCell ref="N26:O26"/>
    <mergeCell ref="N27:O27"/>
    <mergeCell ref="P39:Q39"/>
    <mergeCell ref="P40:Q40"/>
    <mergeCell ref="P41:Q41"/>
    <mergeCell ref="P42:Q42"/>
    <mergeCell ref="P31:Q31"/>
    <mergeCell ref="P32:Q32"/>
    <mergeCell ref="P49:Q49"/>
    <mergeCell ref="P51:Q51"/>
    <mergeCell ref="P52:Q52"/>
    <mergeCell ref="P54:Q54"/>
    <mergeCell ref="P55:Q55"/>
    <mergeCell ref="P56:Q56"/>
    <mergeCell ref="P43:Q43"/>
    <mergeCell ref="P44:Q44"/>
    <mergeCell ref="P45:Q45"/>
    <mergeCell ref="P46:Q46"/>
    <mergeCell ref="P47:Q47"/>
    <mergeCell ref="P48:Q48"/>
    <mergeCell ref="P53:Q53"/>
    <mergeCell ref="N43:O43"/>
    <mergeCell ref="N44:O44"/>
    <mergeCell ref="N53:O53"/>
    <mergeCell ref="P34:Q34"/>
    <mergeCell ref="P35:Q35"/>
    <mergeCell ref="P36:Q36"/>
    <mergeCell ref="L143:M143"/>
    <mergeCell ref="L144:M144"/>
    <mergeCell ref="B109:K109"/>
    <mergeCell ref="B121:K121"/>
    <mergeCell ref="B133:K133"/>
    <mergeCell ref="P57:Q57"/>
    <mergeCell ref="P58:Q58"/>
    <mergeCell ref="P59:Q59"/>
    <mergeCell ref="P60:Q60"/>
    <mergeCell ref="P61:Q61"/>
    <mergeCell ref="P62:Q62"/>
    <mergeCell ref="N57:O57"/>
    <mergeCell ref="N58:O58"/>
    <mergeCell ref="N59:O59"/>
    <mergeCell ref="N60:O60"/>
    <mergeCell ref="N61:O61"/>
    <mergeCell ref="N62:O62"/>
    <mergeCell ref="B94:K94"/>
    <mergeCell ref="N66:O66"/>
    <mergeCell ref="L60:M60"/>
    <mergeCell ref="L61:M61"/>
    <mergeCell ref="L62:M62"/>
    <mergeCell ref="L75:M75"/>
    <mergeCell ref="L77:M77"/>
    <mergeCell ref="L78:M78"/>
    <mergeCell ref="L79:M79"/>
    <mergeCell ref="P63:Q63"/>
    <mergeCell ref="B61:K61"/>
    <mergeCell ref="L57:M57"/>
    <mergeCell ref="L58:M58"/>
    <mergeCell ref="L59:M59"/>
    <mergeCell ref="N71:O71"/>
    <mergeCell ref="P92:Q92"/>
    <mergeCell ref="L246:M246"/>
    <mergeCell ref="L247:M247"/>
    <mergeCell ref="L248:M248"/>
    <mergeCell ref="L249:M249"/>
    <mergeCell ref="L250:M250"/>
    <mergeCell ref="B243:K243"/>
    <mergeCell ref="L243:M243"/>
    <mergeCell ref="N243:O243"/>
    <mergeCell ref="P243:Q243"/>
    <mergeCell ref="B245:K245"/>
    <mergeCell ref="L245:M245"/>
    <mergeCell ref="N245:O245"/>
    <mergeCell ref="P245:Q245"/>
    <mergeCell ref="B247:K247"/>
    <mergeCell ref="N82:O82"/>
    <mergeCell ref="N83:O83"/>
    <mergeCell ref="N85:O85"/>
    <mergeCell ref="N86:O86"/>
    <mergeCell ref="P94:Q94"/>
    <mergeCell ref="L95:M95"/>
    <mergeCell ref="L96:M96"/>
    <mergeCell ref="L97:M97"/>
    <mergeCell ref="L98:M98"/>
    <mergeCell ref="P86:Q86"/>
    <mergeCell ref="P87:Q87"/>
    <mergeCell ref="P88:Q88"/>
    <mergeCell ref="P89:Q89"/>
    <mergeCell ref="P90:Q90"/>
    <mergeCell ref="P91:Q91"/>
    <mergeCell ref="N89:O89"/>
    <mergeCell ref="N90:O90"/>
    <mergeCell ref="L258:M258"/>
    <mergeCell ref="L260:M260"/>
    <mergeCell ref="L261:M261"/>
    <mergeCell ref="N246:O246"/>
    <mergeCell ref="N247:O247"/>
    <mergeCell ref="N248:O248"/>
    <mergeCell ref="N249:O249"/>
    <mergeCell ref="N250:O250"/>
    <mergeCell ref="N252:O252"/>
    <mergeCell ref="N254:O254"/>
    <mergeCell ref="P258:Q258"/>
    <mergeCell ref="P260:Q260"/>
    <mergeCell ref="P261:Q261"/>
    <mergeCell ref="P246:Q246"/>
    <mergeCell ref="P247:Q247"/>
    <mergeCell ref="P248:Q248"/>
    <mergeCell ref="P249:Q249"/>
    <mergeCell ref="P250:Q250"/>
    <mergeCell ref="N92:O92"/>
    <mergeCell ref="N94:O94"/>
    <mergeCell ref="L103:M103"/>
    <mergeCell ref="L104:M104"/>
    <mergeCell ref="P95:Q95"/>
    <mergeCell ref="P96:Q96"/>
    <mergeCell ref="P97:Q97"/>
    <mergeCell ref="P98:Q98"/>
    <mergeCell ref="L262:M262"/>
    <mergeCell ref="L264:M264"/>
    <mergeCell ref="L265:M265"/>
    <mergeCell ref="L252:M252"/>
    <mergeCell ref="L254:M254"/>
    <mergeCell ref="L255:M255"/>
    <mergeCell ref="L256:M256"/>
    <mergeCell ref="L257:M257"/>
    <mergeCell ref="N264:O264"/>
    <mergeCell ref="N265:O265"/>
    <mergeCell ref="P262:Q262"/>
    <mergeCell ref="P264:Q264"/>
    <mergeCell ref="P265:Q265"/>
    <mergeCell ref="L272:M272"/>
    <mergeCell ref="L273:M273"/>
    <mergeCell ref="L300:M300"/>
    <mergeCell ref="L301:M301"/>
    <mergeCell ref="N266:O266"/>
    <mergeCell ref="N268:O268"/>
    <mergeCell ref="N269:O269"/>
    <mergeCell ref="N296:O296"/>
    <mergeCell ref="N297:O297"/>
    <mergeCell ref="N298:O298"/>
    <mergeCell ref="N299:O299"/>
    <mergeCell ref="N300:O300"/>
    <mergeCell ref="N301:O301"/>
    <mergeCell ref="N277:O277"/>
    <mergeCell ref="N278:O278"/>
    <mergeCell ref="N280:O280"/>
    <mergeCell ref="N282:O282"/>
    <mergeCell ref="N293:O293"/>
    <mergeCell ref="N295:O295"/>
    <mergeCell ref="L302:M302"/>
    <mergeCell ref="L304:M304"/>
    <mergeCell ref="L305:M305"/>
    <mergeCell ref="L282:M282"/>
    <mergeCell ref="L293:M293"/>
    <mergeCell ref="L295:M295"/>
    <mergeCell ref="L296:M296"/>
    <mergeCell ref="L297:M297"/>
    <mergeCell ref="L298:M298"/>
    <mergeCell ref="L312:M312"/>
    <mergeCell ref="L313:M313"/>
    <mergeCell ref="L314:M314"/>
    <mergeCell ref="L315:M315"/>
    <mergeCell ref="L317:M317"/>
    <mergeCell ref="L306:M306"/>
    <mergeCell ref="L307:M307"/>
    <mergeCell ref="L308:M308"/>
    <mergeCell ref="L309:M309"/>
    <mergeCell ref="L310:M310"/>
    <mergeCell ref="L311:M311"/>
    <mergeCell ref="L288:M288"/>
    <mergeCell ref="L290:M290"/>
    <mergeCell ref="L292:M292"/>
    <mergeCell ref="L289:M289"/>
    <mergeCell ref="L284:M284"/>
    <mergeCell ref="L286:M286"/>
    <mergeCell ref="L336:M336"/>
    <mergeCell ref="L337:M337"/>
    <mergeCell ref="L338:M338"/>
    <mergeCell ref="L342:M342"/>
    <mergeCell ref="L343:M343"/>
    <mergeCell ref="L344:M344"/>
    <mergeCell ref="L340:M340"/>
    <mergeCell ref="L349:M349"/>
    <mergeCell ref="L350:M350"/>
    <mergeCell ref="L351:M351"/>
    <mergeCell ref="L352:M352"/>
    <mergeCell ref="L353:M353"/>
    <mergeCell ref="L345:M345"/>
    <mergeCell ref="L346:M346"/>
    <mergeCell ref="L347:M347"/>
    <mergeCell ref="L348:M348"/>
    <mergeCell ref="L395:M395"/>
    <mergeCell ref="L396:M396"/>
    <mergeCell ref="L397:M397"/>
    <mergeCell ref="L385:M385"/>
    <mergeCell ref="L386:M386"/>
    <mergeCell ref="L387:M387"/>
    <mergeCell ref="L392:M392"/>
    <mergeCell ref="L368:M368"/>
    <mergeCell ref="L369:M369"/>
    <mergeCell ref="L370:M370"/>
    <mergeCell ref="L371:M371"/>
    <mergeCell ref="L378:M378"/>
    <mergeCell ref="L379:M379"/>
    <mergeCell ref="L380:M380"/>
    <mergeCell ref="L381:M381"/>
    <mergeCell ref="L388:M388"/>
    <mergeCell ref="L389:M389"/>
    <mergeCell ref="L390:M390"/>
    <mergeCell ref="L391:M391"/>
    <mergeCell ref="L382:M382"/>
    <mergeCell ref="L376:M376"/>
    <mergeCell ref="L377:M377"/>
    <mergeCell ref="L398:M398"/>
    <mergeCell ref="L399:M399"/>
    <mergeCell ref="L403:M403"/>
    <mergeCell ref="L404:M404"/>
    <mergeCell ref="L405:M405"/>
    <mergeCell ref="L406:M406"/>
    <mergeCell ref="N255:O255"/>
    <mergeCell ref="N256:O256"/>
    <mergeCell ref="N257:O257"/>
    <mergeCell ref="N258:O258"/>
    <mergeCell ref="N260:O260"/>
    <mergeCell ref="N261:O261"/>
    <mergeCell ref="L422:M422"/>
    <mergeCell ref="L423:M423"/>
    <mergeCell ref="L416:M416"/>
    <mergeCell ref="L417:M417"/>
    <mergeCell ref="L418:M418"/>
    <mergeCell ref="L419:M419"/>
    <mergeCell ref="L420:M420"/>
    <mergeCell ref="L421:M421"/>
    <mergeCell ref="L407:M407"/>
    <mergeCell ref="L408:M408"/>
    <mergeCell ref="N270:O270"/>
    <mergeCell ref="N272:O272"/>
    <mergeCell ref="N273:O273"/>
    <mergeCell ref="N274:O274"/>
    <mergeCell ref="N275:O275"/>
    <mergeCell ref="N276:O276"/>
    <mergeCell ref="N262:O262"/>
    <mergeCell ref="L383:M383"/>
    <mergeCell ref="L384:M384"/>
    <mergeCell ref="L367:M367"/>
    <mergeCell ref="N315:O315"/>
    <mergeCell ref="N317:O317"/>
    <mergeCell ref="N318:O318"/>
    <mergeCell ref="N320:O320"/>
    <mergeCell ref="N321:O321"/>
    <mergeCell ref="N322:O322"/>
    <mergeCell ref="N342:O342"/>
    <mergeCell ref="N343:O343"/>
    <mergeCell ref="N344:O344"/>
    <mergeCell ref="N345:O345"/>
    <mergeCell ref="N346:O346"/>
    <mergeCell ref="N288:O288"/>
    <mergeCell ref="N290:O290"/>
    <mergeCell ref="N292:O292"/>
    <mergeCell ref="N289:O289"/>
    <mergeCell ref="N284:O284"/>
    <mergeCell ref="N286:O286"/>
    <mergeCell ref="N309:O309"/>
    <mergeCell ref="N310:O310"/>
    <mergeCell ref="N311:O311"/>
    <mergeCell ref="N312:O312"/>
    <mergeCell ref="N313:O313"/>
    <mergeCell ref="N314:O314"/>
    <mergeCell ref="N302:O302"/>
    <mergeCell ref="N304:O304"/>
    <mergeCell ref="N305:O305"/>
    <mergeCell ref="N306:O306"/>
    <mergeCell ref="N307:O307"/>
    <mergeCell ref="N308:O308"/>
    <mergeCell ref="N331:O331"/>
    <mergeCell ref="N340:O340"/>
    <mergeCell ref="N339:O339"/>
    <mergeCell ref="N360:O360"/>
    <mergeCell ref="N361:O361"/>
    <mergeCell ref="N362:O362"/>
    <mergeCell ref="N363:O363"/>
    <mergeCell ref="N348:O348"/>
    <mergeCell ref="N354:O354"/>
    <mergeCell ref="N355:O355"/>
    <mergeCell ref="N356:O356"/>
    <mergeCell ref="N357:O357"/>
    <mergeCell ref="N323:O323"/>
    <mergeCell ref="N324:O324"/>
    <mergeCell ref="N326:O326"/>
    <mergeCell ref="N328:O328"/>
    <mergeCell ref="N330:O330"/>
    <mergeCell ref="N332:O332"/>
    <mergeCell ref="N375:O375"/>
    <mergeCell ref="N376:O376"/>
    <mergeCell ref="N347:O347"/>
    <mergeCell ref="N333:O333"/>
    <mergeCell ref="N334:O334"/>
    <mergeCell ref="N335:O335"/>
    <mergeCell ref="N336:O336"/>
    <mergeCell ref="N337:O337"/>
    <mergeCell ref="N338:O338"/>
    <mergeCell ref="N327:O327"/>
    <mergeCell ref="N329:O329"/>
    <mergeCell ref="N377:O377"/>
    <mergeCell ref="N364:O364"/>
    <mergeCell ref="N365:O365"/>
    <mergeCell ref="N366:O366"/>
    <mergeCell ref="N367:O367"/>
    <mergeCell ref="N372:O372"/>
    <mergeCell ref="N352:O352"/>
    <mergeCell ref="N349:O349"/>
    <mergeCell ref="N350:O350"/>
    <mergeCell ref="N351:O351"/>
    <mergeCell ref="N368:O368"/>
    <mergeCell ref="N369:O369"/>
    <mergeCell ref="N370:O370"/>
    <mergeCell ref="N422:O422"/>
    <mergeCell ref="N423:O423"/>
    <mergeCell ref="N410:O410"/>
    <mergeCell ref="N411:O411"/>
    <mergeCell ref="N416:O416"/>
    <mergeCell ref="N417:O417"/>
    <mergeCell ref="N418:O418"/>
    <mergeCell ref="N404:O404"/>
    <mergeCell ref="N405:O405"/>
    <mergeCell ref="N406:O406"/>
    <mergeCell ref="N407:O407"/>
    <mergeCell ref="N408:O408"/>
    <mergeCell ref="N409:O409"/>
    <mergeCell ref="N395:O395"/>
    <mergeCell ref="N396:O396"/>
    <mergeCell ref="N397:O397"/>
    <mergeCell ref="N398:O398"/>
    <mergeCell ref="N399:O399"/>
    <mergeCell ref="N389:O389"/>
    <mergeCell ref="P252:Q252"/>
    <mergeCell ref="P254:Q254"/>
    <mergeCell ref="P255:Q255"/>
    <mergeCell ref="P256:Q256"/>
    <mergeCell ref="P257:Q257"/>
    <mergeCell ref="N419:O419"/>
    <mergeCell ref="N420:O420"/>
    <mergeCell ref="N421:O421"/>
    <mergeCell ref="N358:O358"/>
    <mergeCell ref="N403:O403"/>
    <mergeCell ref="N392:O392"/>
    <mergeCell ref="N393:O393"/>
    <mergeCell ref="N394:O394"/>
    <mergeCell ref="N382:O382"/>
    <mergeCell ref="N383:O383"/>
    <mergeCell ref="N384:O384"/>
    <mergeCell ref="N385:O385"/>
    <mergeCell ref="N386:O386"/>
    <mergeCell ref="N387:O387"/>
    <mergeCell ref="N373:O373"/>
    <mergeCell ref="N374:O374"/>
    <mergeCell ref="P266:Q266"/>
    <mergeCell ref="P268:Q268"/>
    <mergeCell ref="P269:Q269"/>
    <mergeCell ref="P270:Q270"/>
    <mergeCell ref="P272:Q272"/>
    <mergeCell ref="P273:Q273"/>
    <mergeCell ref="P308:Q308"/>
    <mergeCell ref="P309:Q309"/>
    <mergeCell ref="P310:Q310"/>
    <mergeCell ref="P311:Q311"/>
    <mergeCell ref="N359:O359"/>
    <mergeCell ref="P320:Q320"/>
    <mergeCell ref="P321:Q321"/>
    <mergeCell ref="P322:Q322"/>
    <mergeCell ref="P323:Q323"/>
    <mergeCell ref="P324:Q324"/>
    <mergeCell ref="P326:Q326"/>
    <mergeCell ref="P282:Q282"/>
    <mergeCell ref="P293:Q293"/>
    <mergeCell ref="P295:Q295"/>
    <mergeCell ref="P296:Q296"/>
    <mergeCell ref="P297:Q297"/>
    <mergeCell ref="P298:Q298"/>
    <mergeCell ref="P274:Q274"/>
    <mergeCell ref="P275:Q275"/>
    <mergeCell ref="P276:Q276"/>
    <mergeCell ref="P277:Q277"/>
    <mergeCell ref="P278:Q278"/>
    <mergeCell ref="P280:Q280"/>
    <mergeCell ref="P306:Q306"/>
    <mergeCell ref="P307:Q307"/>
    <mergeCell ref="P299:Q299"/>
    <mergeCell ref="P300:Q300"/>
    <mergeCell ref="P301:Q301"/>
    <mergeCell ref="P302:Q302"/>
    <mergeCell ref="P304:Q304"/>
    <mergeCell ref="P305:Q305"/>
    <mergeCell ref="P288:Q288"/>
    <mergeCell ref="P290:Q290"/>
    <mergeCell ref="P284:Q284"/>
    <mergeCell ref="P286:Q286"/>
    <mergeCell ref="P294:Q294"/>
    <mergeCell ref="P359:Q359"/>
    <mergeCell ref="P360:Q360"/>
    <mergeCell ref="P345:Q345"/>
    <mergeCell ref="P346:Q346"/>
    <mergeCell ref="P347:Q347"/>
    <mergeCell ref="P348:Q348"/>
    <mergeCell ref="P354:Q354"/>
    <mergeCell ref="P336:Q336"/>
    <mergeCell ref="P337:Q337"/>
    <mergeCell ref="P338:Q338"/>
    <mergeCell ref="P342:Q342"/>
    <mergeCell ref="P343:Q343"/>
    <mergeCell ref="P344:Q344"/>
    <mergeCell ref="P328:Q328"/>
    <mergeCell ref="P330:Q330"/>
    <mergeCell ref="P332:Q332"/>
    <mergeCell ref="P333:Q333"/>
    <mergeCell ref="P334:Q334"/>
    <mergeCell ref="P335:Q335"/>
    <mergeCell ref="P367:Q367"/>
    <mergeCell ref="P292:Q292"/>
    <mergeCell ref="P289:Q289"/>
    <mergeCell ref="P372:Q372"/>
    <mergeCell ref="P373:Q373"/>
    <mergeCell ref="P374:Q374"/>
    <mergeCell ref="P375:Q375"/>
    <mergeCell ref="P361:Q361"/>
    <mergeCell ref="P362:Q362"/>
    <mergeCell ref="P363:Q363"/>
    <mergeCell ref="P364:Q364"/>
    <mergeCell ref="P365:Q365"/>
    <mergeCell ref="P366:Q366"/>
    <mergeCell ref="P352:Q352"/>
    <mergeCell ref="P349:Q349"/>
    <mergeCell ref="P350:Q350"/>
    <mergeCell ref="P351:Q351"/>
    <mergeCell ref="P368:Q368"/>
    <mergeCell ref="P369:Q369"/>
    <mergeCell ref="P370:Q370"/>
    <mergeCell ref="P355:Q355"/>
    <mergeCell ref="P356:Q356"/>
    <mergeCell ref="P312:Q312"/>
    <mergeCell ref="P313:Q313"/>
    <mergeCell ref="P314:Q314"/>
    <mergeCell ref="P327:Q327"/>
    <mergeCell ref="P329:Q329"/>
    <mergeCell ref="P331:Q331"/>
    <mergeCell ref="P340:Q340"/>
    <mergeCell ref="P339:Q339"/>
    <mergeCell ref="P357:Q357"/>
    <mergeCell ref="P358:Q358"/>
    <mergeCell ref="P376:Q376"/>
    <mergeCell ref="P377:Q377"/>
    <mergeCell ref="P382:Q382"/>
    <mergeCell ref="P383:Q383"/>
    <mergeCell ref="P384:Q384"/>
    <mergeCell ref="P403:Q403"/>
    <mergeCell ref="P404:Q404"/>
    <mergeCell ref="P405:Q405"/>
    <mergeCell ref="P406:Q406"/>
    <mergeCell ref="P393:Q393"/>
    <mergeCell ref="P394:Q394"/>
    <mergeCell ref="P395:Q395"/>
    <mergeCell ref="P396:Q396"/>
    <mergeCell ref="P397:Q397"/>
    <mergeCell ref="P390:Q390"/>
    <mergeCell ref="P400:Q400"/>
    <mergeCell ref="P401:Q401"/>
    <mergeCell ref="P402:Q402"/>
    <mergeCell ref="L53:M53"/>
    <mergeCell ref="L63:M63"/>
    <mergeCell ref="L64:M64"/>
    <mergeCell ref="L65:M65"/>
    <mergeCell ref="L66:M66"/>
    <mergeCell ref="L68:M68"/>
    <mergeCell ref="L69:M69"/>
    <mergeCell ref="P416:Q416"/>
    <mergeCell ref="P417:Q417"/>
    <mergeCell ref="P418:Q418"/>
    <mergeCell ref="P419:Q419"/>
    <mergeCell ref="P420:Q420"/>
    <mergeCell ref="P421:Q421"/>
    <mergeCell ref="P407:Q407"/>
    <mergeCell ref="P408:Q408"/>
    <mergeCell ref="P409:Q409"/>
    <mergeCell ref="P410:Q410"/>
    <mergeCell ref="P411:Q411"/>
    <mergeCell ref="P398:Q398"/>
    <mergeCell ref="P399:Q399"/>
    <mergeCell ref="L94:M94"/>
    <mergeCell ref="L81:M81"/>
    <mergeCell ref="L82:M82"/>
    <mergeCell ref="L83:M83"/>
    <mergeCell ref="L85:M85"/>
    <mergeCell ref="L86:M86"/>
    <mergeCell ref="L87:M87"/>
    <mergeCell ref="L70:M70"/>
    <mergeCell ref="L71:M71"/>
    <mergeCell ref="P385:Q385"/>
    <mergeCell ref="P386:Q386"/>
    <mergeCell ref="N63:O63"/>
    <mergeCell ref="N64:O64"/>
    <mergeCell ref="N65:O65"/>
    <mergeCell ref="N68:O68"/>
    <mergeCell ref="N69:O69"/>
    <mergeCell ref="N70:O70"/>
    <mergeCell ref="P78:Q78"/>
    <mergeCell ref="P79:Q79"/>
    <mergeCell ref="P81:Q81"/>
    <mergeCell ref="P82:Q82"/>
    <mergeCell ref="P83:Q83"/>
    <mergeCell ref="P85:Q85"/>
    <mergeCell ref="P68:Q68"/>
    <mergeCell ref="P69:Q69"/>
    <mergeCell ref="P70:Q70"/>
    <mergeCell ref="P71:Q71"/>
    <mergeCell ref="P75:Q75"/>
    <mergeCell ref="P77:Q77"/>
    <mergeCell ref="P64:Q64"/>
    <mergeCell ref="P65:Q65"/>
    <mergeCell ref="P66:Q66"/>
    <mergeCell ref="N75:O75"/>
    <mergeCell ref="N77:O77"/>
    <mergeCell ref="N78:O78"/>
    <mergeCell ref="N79:O79"/>
    <mergeCell ref="N81:O81"/>
    <mergeCell ref="N87:O87"/>
    <mergeCell ref="N88:O88"/>
    <mergeCell ref="L88:M88"/>
    <mergeCell ref="L89:M89"/>
    <mergeCell ref="L90:M90"/>
    <mergeCell ref="L91:M91"/>
    <mergeCell ref="L92:M92"/>
    <mergeCell ref="N95:O95"/>
    <mergeCell ref="N96:O96"/>
    <mergeCell ref="N97:O97"/>
    <mergeCell ref="N98:O98"/>
    <mergeCell ref="N99:O99"/>
    <mergeCell ref="L99:M99"/>
    <mergeCell ref="L100:M100"/>
    <mergeCell ref="L101:M101"/>
    <mergeCell ref="N91:O91"/>
    <mergeCell ref="L102:M102"/>
    <mergeCell ref="P99:Q99"/>
    <mergeCell ref="P100:Q100"/>
    <mergeCell ref="N100:O100"/>
    <mergeCell ref="N101:O101"/>
    <mergeCell ref="N102:O102"/>
    <mergeCell ref="P101:Q101"/>
    <mergeCell ref="P102:Q102"/>
    <mergeCell ref="P103:Q103"/>
    <mergeCell ref="P104:Q104"/>
    <mergeCell ref="N107:O107"/>
    <mergeCell ref="N108:O108"/>
    <mergeCell ref="N103:O103"/>
    <mergeCell ref="N104:O104"/>
    <mergeCell ref="N105:O105"/>
    <mergeCell ref="P107:Q107"/>
    <mergeCell ref="P108:Q108"/>
    <mergeCell ref="P109:Q109"/>
    <mergeCell ref="L110:M110"/>
    <mergeCell ref="L111:M111"/>
    <mergeCell ref="L112:M112"/>
    <mergeCell ref="N110:O110"/>
    <mergeCell ref="N111:O111"/>
    <mergeCell ref="N112:O112"/>
    <mergeCell ref="P110:Q110"/>
    <mergeCell ref="N109:O109"/>
    <mergeCell ref="P119:Q119"/>
    <mergeCell ref="L105:M105"/>
    <mergeCell ref="L106:M106"/>
    <mergeCell ref="L107:M107"/>
    <mergeCell ref="L108:M108"/>
    <mergeCell ref="L109:M109"/>
    <mergeCell ref="P105:Q105"/>
    <mergeCell ref="P106:Q106"/>
    <mergeCell ref="N106:O106"/>
    <mergeCell ref="L122:M122"/>
    <mergeCell ref="L123:M123"/>
    <mergeCell ref="L124:M124"/>
    <mergeCell ref="L125:M125"/>
    <mergeCell ref="P111:Q111"/>
    <mergeCell ref="P112:Q112"/>
    <mergeCell ref="P113:Q113"/>
    <mergeCell ref="P116:Q116"/>
    <mergeCell ref="P117:Q117"/>
    <mergeCell ref="P118:Q118"/>
    <mergeCell ref="N113:O113"/>
    <mergeCell ref="N116:O116"/>
    <mergeCell ref="N117:O117"/>
    <mergeCell ref="N118:O118"/>
    <mergeCell ref="N119:O119"/>
    <mergeCell ref="N121:O121"/>
    <mergeCell ref="L113:M113"/>
    <mergeCell ref="L116:M116"/>
    <mergeCell ref="L117:M117"/>
    <mergeCell ref="L118:M118"/>
    <mergeCell ref="L119:M119"/>
    <mergeCell ref="L121:M121"/>
    <mergeCell ref="N122:O122"/>
    <mergeCell ref="N123:O123"/>
    <mergeCell ref="N124:O124"/>
    <mergeCell ref="N125:O125"/>
    <mergeCell ref="N129:O129"/>
    <mergeCell ref="N130:O130"/>
    <mergeCell ref="N132:O132"/>
    <mergeCell ref="N133:O133"/>
    <mergeCell ref="P122:Q122"/>
    <mergeCell ref="P123:Q123"/>
    <mergeCell ref="P124:Q124"/>
    <mergeCell ref="P125:Q125"/>
    <mergeCell ref="P128:Q128"/>
    <mergeCell ref="P129:Q129"/>
    <mergeCell ref="P130:Q130"/>
    <mergeCell ref="P132:Q132"/>
    <mergeCell ref="P133:Q133"/>
    <mergeCell ref="P140:Q140"/>
    <mergeCell ref="P141:Q141"/>
    <mergeCell ref="P142:Q142"/>
    <mergeCell ref="P121:Q121"/>
    <mergeCell ref="N137:O137"/>
    <mergeCell ref="N138:O138"/>
    <mergeCell ref="N139:O139"/>
    <mergeCell ref="N140:O140"/>
    <mergeCell ref="N141:O141"/>
    <mergeCell ref="P143:Q143"/>
    <mergeCell ref="P144:Q144"/>
    <mergeCell ref="P146:Q146"/>
    <mergeCell ref="N149:O149"/>
    <mergeCell ref="N150:O150"/>
    <mergeCell ref="N151:O151"/>
    <mergeCell ref="N142:O142"/>
    <mergeCell ref="N143:O143"/>
    <mergeCell ref="N144:O144"/>
    <mergeCell ref="N146:O146"/>
    <mergeCell ref="N147:O147"/>
    <mergeCell ref="N148:O148"/>
    <mergeCell ref="L128:M128"/>
    <mergeCell ref="L129:M129"/>
    <mergeCell ref="L130:M130"/>
    <mergeCell ref="L132:M132"/>
    <mergeCell ref="L133:M133"/>
    <mergeCell ref="L134:M134"/>
    <mergeCell ref="N134:O134"/>
    <mergeCell ref="P134:Q134"/>
    <mergeCell ref="L141:M141"/>
    <mergeCell ref="L142:M142"/>
    <mergeCell ref="L140:M140"/>
    <mergeCell ref="L137:M137"/>
    <mergeCell ref="L138:M138"/>
    <mergeCell ref="L139:M139"/>
    <mergeCell ref="P137:Q137"/>
    <mergeCell ref="P138:Q138"/>
    <mergeCell ref="P139:Q139"/>
    <mergeCell ref="N145:O145"/>
    <mergeCell ref="P145:Q145"/>
    <mergeCell ref="N128:O128"/>
    <mergeCell ref="L239:M239"/>
    <mergeCell ref="L240:M240"/>
    <mergeCell ref="N239:O239"/>
    <mergeCell ref="N240:O240"/>
    <mergeCell ref="P239:Q239"/>
    <mergeCell ref="P240:Q240"/>
    <mergeCell ref="P147:Q147"/>
    <mergeCell ref="P148:Q148"/>
    <mergeCell ref="P149:Q149"/>
    <mergeCell ref="P150:Q150"/>
    <mergeCell ref="P151:Q151"/>
    <mergeCell ref="P152:Q152"/>
    <mergeCell ref="N152:O152"/>
    <mergeCell ref="N153:O153"/>
    <mergeCell ref="N154:O154"/>
    <mergeCell ref="L150:M150"/>
    <mergeCell ref="L151:M151"/>
    <mergeCell ref="L152:M152"/>
    <mergeCell ref="L153:M153"/>
    <mergeCell ref="L154:M154"/>
    <mergeCell ref="L148:M148"/>
    <mergeCell ref="L149:M149"/>
    <mergeCell ref="L158:M158"/>
    <mergeCell ref="L159:M159"/>
    <mergeCell ref="L147:M147"/>
    <mergeCell ref="L155:M155"/>
    <mergeCell ref="N155:O155"/>
    <mergeCell ref="P155:Q155"/>
    <mergeCell ref="L238:M238"/>
    <mergeCell ref="N238:O238"/>
    <mergeCell ref="P238:Q238"/>
    <mergeCell ref="L231:M231"/>
    <mergeCell ref="N159:O159"/>
    <mergeCell ref="N160:O160"/>
    <mergeCell ref="N161:O161"/>
    <mergeCell ref="N162:O162"/>
    <mergeCell ref="N163:O163"/>
    <mergeCell ref="N164:O164"/>
    <mergeCell ref="N165:O165"/>
    <mergeCell ref="N166:O166"/>
    <mergeCell ref="N167:O167"/>
    <mergeCell ref="N168:O168"/>
    <mergeCell ref="B236:K236"/>
    <mergeCell ref="L236:M236"/>
    <mergeCell ref="N236:O236"/>
    <mergeCell ref="P236:Q236"/>
    <mergeCell ref="P153:Q153"/>
    <mergeCell ref="P154:Q154"/>
    <mergeCell ref="B155:K155"/>
    <mergeCell ref="B231:K231"/>
    <mergeCell ref="N231:O231"/>
    <mergeCell ref="P231:Q231"/>
    <mergeCell ref="B229:K229"/>
    <mergeCell ref="L229:M229"/>
    <mergeCell ref="N229:O229"/>
    <mergeCell ref="P229:Q229"/>
    <mergeCell ref="P158:Q158"/>
    <mergeCell ref="P159:Q159"/>
    <mergeCell ref="P160:Q160"/>
    <mergeCell ref="P161:Q161"/>
    <mergeCell ref="P162:Q162"/>
    <mergeCell ref="P163:Q163"/>
    <mergeCell ref="P164:Q164"/>
    <mergeCell ref="P165:Q165"/>
    <mergeCell ref="P166:Q166"/>
    <mergeCell ref="P167:Q167"/>
    <mergeCell ref="P168:Q168"/>
    <mergeCell ref="L182:M182"/>
    <mergeCell ref="N182:O182"/>
    <mergeCell ref="P182:Q182"/>
    <mergeCell ref="L160:M160"/>
    <mergeCell ref="L161:M161"/>
    <mergeCell ref="L162:M162"/>
    <mergeCell ref="L76:M76"/>
    <mergeCell ref="L80:M80"/>
    <mergeCell ref="L84:M84"/>
    <mergeCell ref="L93:M93"/>
    <mergeCell ref="L114:M114"/>
    <mergeCell ref="L115:M115"/>
    <mergeCell ref="L120:M120"/>
    <mergeCell ref="L126:M126"/>
    <mergeCell ref="L127:M127"/>
    <mergeCell ref="L131:M131"/>
    <mergeCell ref="L145:M145"/>
    <mergeCell ref="N84:O84"/>
    <mergeCell ref="N80:O80"/>
    <mergeCell ref="N76:O76"/>
    <mergeCell ref="N93:O93"/>
    <mergeCell ref="N114:O114"/>
    <mergeCell ref="N115:O115"/>
    <mergeCell ref="N120:O120"/>
    <mergeCell ref="N126:O126"/>
    <mergeCell ref="N127:O127"/>
    <mergeCell ref="N131:O131"/>
    <mergeCell ref="N158:O158"/>
    <mergeCell ref="N169:O169"/>
    <mergeCell ref="B169:K169"/>
    <mergeCell ref="B181:K181"/>
    <mergeCell ref="B193:K193"/>
    <mergeCell ref="B205:K205"/>
    <mergeCell ref="L200:M200"/>
    <mergeCell ref="L201:M201"/>
    <mergeCell ref="L202:M202"/>
    <mergeCell ref="L203:M203"/>
    <mergeCell ref="L204:M204"/>
    <mergeCell ref="L205:M205"/>
    <mergeCell ref="L163:M163"/>
    <mergeCell ref="L164:M164"/>
    <mergeCell ref="L165:M165"/>
    <mergeCell ref="L166:M166"/>
    <mergeCell ref="L167:M167"/>
    <mergeCell ref="L168:M168"/>
    <mergeCell ref="L146:M146"/>
    <mergeCell ref="L199:M199"/>
    <mergeCell ref="B134:K134"/>
    <mergeCell ref="B217:K217"/>
    <mergeCell ref="B228:K228"/>
    <mergeCell ref="L169:M169"/>
    <mergeCell ref="L170:M170"/>
    <mergeCell ref="L171:M171"/>
    <mergeCell ref="L172:M172"/>
    <mergeCell ref="L173:M173"/>
    <mergeCell ref="L174:M174"/>
    <mergeCell ref="L175:M175"/>
    <mergeCell ref="L176:M176"/>
    <mergeCell ref="L177:M177"/>
    <mergeCell ref="L178:M178"/>
    <mergeCell ref="L179:M179"/>
    <mergeCell ref="L180:M180"/>
    <mergeCell ref="L181:M181"/>
    <mergeCell ref="L183:M183"/>
    <mergeCell ref="L184:M184"/>
    <mergeCell ref="L185:M185"/>
    <mergeCell ref="L186:M186"/>
    <mergeCell ref="L187:M187"/>
    <mergeCell ref="L188:M188"/>
    <mergeCell ref="L189:M189"/>
    <mergeCell ref="L190:M190"/>
    <mergeCell ref="L191:M191"/>
    <mergeCell ref="L192:M192"/>
    <mergeCell ref="L193:M193"/>
    <mergeCell ref="L194:M194"/>
    <mergeCell ref="L195:M195"/>
    <mergeCell ref="L196:M196"/>
    <mergeCell ref="L197:M197"/>
    <mergeCell ref="L198:M198"/>
    <mergeCell ref="L228:M228"/>
    <mergeCell ref="L218:M218"/>
    <mergeCell ref="L219:M219"/>
    <mergeCell ref="L220:M220"/>
    <mergeCell ref="L221:M221"/>
    <mergeCell ref="L222:M222"/>
    <mergeCell ref="L223:M223"/>
    <mergeCell ref="L224:M224"/>
    <mergeCell ref="L225:M225"/>
    <mergeCell ref="L226:M226"/>
    <mergeCell ref="L227:M227"/>
    <mergeCell ref="L234:M234"/>
    <mergeCell ref="L235:M235"/>
    <mergeCell ref="L206:M206"/>
    <mergeCell ref="L207:M207"/>
    <mergeCell ref="L208:M208"/>
    <mergeCell ref="L209:M209"/>
    <mergeCell ref="L210:M210"/>
    <mergeCell ref="L211:M211"/>
    <mergeCell ref="L212:M212"/>
    <mergeCell ref="L213:M213"/>
    <mergeCell ref="L214:M214"/>
    <mergeCell ref="L215:M215"/>
    <mergeCell ref="L216:M216"/>
    <mergeCell ref="L217:M217"/>
    <mergeCell ref="L242:M242"/>
    <mergeCell ref="L253:M253"/>
    <mergeCell ref="L251:M251"/>
    <mergeCell ref="L259:M259"/>
    <mergeCell ref="L263:M263"/>
    <mergeCell ref="L267:M267"/>
    <mergeCell ref="L271:M271"/>
    <mergeCell ref="L279:M279"/>
    <mergeCell ref="L283:M283"/>
    <mergeCell ref="L285:M285"/>
    <mergeCell ref="L287:M287"/>
    <mergeCell ref="L291:M291"/>
    <mergeCell ref="L294:M294"/>
    <mergeCell ref="L339:M339"/>
    <mergeCell ref="L319:M319"/>
    <mergeCell ref="L325:M325"/>
    <mergeCell ref="L327:M327"/>
    <mergeCell ref="L329:M329"/>
    <mergeCell ref="L331:M331"/>
    <mergeCell ref="L328:M328"/>
    <mergeCell ref="L330:M330"/>
    <mergeCell ref="L332:M332"/>
    <mergeCell ref="L333:M333"/>
    <mergeCell ref="L334:M334"/>
    <mergeCell ref="L335:M335"/>
    <mergeCell ref="L320:M320"/>
    <mergeCell ref="L321:M321"/>
    <mergeCell ref="L322:M322"/>
    <mergeCell ref="L323:M323"/>
    <mergeCell ref="L324:M324"/>
    <mergeCell ref="L326:M326"/>
    <mergeCell ref="L299:M299"/>
    <mergeCell ref="L400:M400"/>
    <mergeCell ref="L401:M401"/>
    <mergeCell ref="L402:M402"/>
    <mergeCell ref="L412:M412"/>
    <mergeCell ref="L413:M413"/>
    <mergeCell ref="L414:M414"/>
    <mergeCell ref="L415:M415"/>
    <mergeCell ref="L433:M433"/>
    <mergeCell ref="L434:M434"/>
    <mergeCell ref="L435:M435"/>
    <mergeCell ref="L444:M444"/>
    <mergeCell ref="L445:M445"/>
    <mergeCell ref="L446:M446"/>
    <mergeCell ref="L454:M454"/>
    <mergeCell ref="L455:M455"/>
    <mergeCell ref="L456:M456"/>
    <mergeCell ref="L466:M466"/>
    <mergeCell ref="L409:M409"/>
    <mergeCell ref="L410:M410"/>
    <mergeCell ref="L411:M411"/>
    <mergeCell ref="L431:M431"/>
    <mergeCell ref="L432:M432"/>
    <mergeCell ref="L436:M436"/>
    <mergeCell ref="L461:M461"/>
    <mergeCell ref="L462:M462"/>
    <mergeCell ref="L463:M463"/>
    <mergeCell ref="L464:M464"/>
    <mergeCell ref="L465:M465"/>
    <mergeCell ref="L587:M587"/>
    <mergeCell ref="L588:M588"/>
    <mergeCell ref="L589:M589"/>
    <mergeCell ref="L599:M599"/>
    <mergeCell ref="L600:M600"/>
    <mergeCell ref="L601:M601"/>
    <mergeCell ref="L477:M477"/>
    <mergeCell ref="L478:M478"/>
    <mergeCell ref="L479:M479"/>
    <mergeCell ref="L484:M484"/>
    <mergeCell ref="L485:M485"/>
    <mergeCell ref="L486:M486"/>
    <mergeCell ref="L491:M491"/>
    <mergeCell ref="L492:M492"/>
    <mergeCell ref="L493:M493"/>
    <mergeCell ref="L512:M512"/>
    <mergeCell ref="L526:M526"/>
    <mergeCell ref="L527:M527"/>
    <mergeCell ref="L518:M518"/>
    <mergeCell ref="L516:M516"/>
    <mergeCell ref="L514:M514"/>
    <mergeCell ref="L536:M536"/>
    <mergeCell ref="L537:M537"/>
    <mergeCell ref="L487:M487"/>
    <mergeCell ref="L488:M488"/>
    <mergeCell ref="L489:M489"/>
    <mergeCell ref="L490:M490"/>
    <mergeCell ref="L494:M494"/>
    <mergeCell ref="L496:M496"/>
    <mergeCell ref="L497:M497"/>
    <mergeCell ref="L498:M498"/>
    <mergeCell ref="L499:M499"/>
    <mergeCell ref="L673:M673"/>
    <mergeCell ref="L678:M678"/>
    <mergeCell ref="L679:M679"/>
    <mergeCell ref="L680:M680"/>
    <mergeCell ref="L506:M506"/>
    <mergeCell ref="L687:M687"/>
    <mergeCell ref="L620:M620"/>
    <mergeCell ref="L621:M621"/>
    <mergeCell ref="L622:M622"/>
    <mergeCell ref="L631:M631"/>
    <mergeCell ref="L632:M632"/>
    <mergeCell ref="L633:M633"/>
    <mergeCell ref="L641:M641"/>
    <mergeCell ref="L642:M642"/>
    <mergeCell ref="L643:M643"/>
    <mergeCell ref="L653:M653"/>
    <mergeCell ref="L654:M654"/>
    <mergeCell ref="L655:M655"/>
    <mergeCell ref="L664:M664"/>
    <mergeCell ref="L665:M665"/>
    <mergeCell ref="L666:M666"/>
    <mergeCell ref="L671:M671"/>
    <mergeCell ref="L672:M672"/>
    <mergeCell ref="L538:M538"/>
    <mergeCell ref="L539:M539"/>
    <mergeCell ref="L555:M555"/>
    <mergeCell ref="L556:M556"/>
    <mergeCell ref="L557:M557"/>
    <mergeCell ref="L565:M565"/>
    <mergeCell ref="L566:M566"/>
    <mergeCell ref="L567:M567"/>
    <mergeCell ref="L575:M575"/>
    <mergeCell ref="P169:Q169"/>
    <mergeCell ref="N181:O181"/>
    <mergeCell ref="P181:Q181"/>
    <mergeCell ref="N170:O170"/>
    <mergeCell ref="N171:O171"/>
    <mergeCell ref="N172:O172"/>
    <mergeCell ref="N173:O173"/>
    <mergeCell ref="N174:O174"/>
    <mergeCell ref="N175:O175"/>
    <mergeCell ref="N176:O176"/>
    <mergeCell ref="N177:O177"/>
    <mergeCell ref="N178:O178"/>
    <mergeCell ref="N179:O179"/>
    <mergeCell ref="N180:O180"/>
    <mergeCell ref="N183:O183"/>
    <mergeCell ref="N184:O184"/>
    <mergeCell ref="P184:Q184"/>
    <mergeCell ref="N185:O185"/>
    <mergeCell ref="N186:O186"/>
    <mergeCell ref="N187:O187"/>
    <mergeCell ref="N188:O188"/>
    <mergeCell ref="N189:O189"/>
    <mergeCell ref="N190:O190"/>
    <mergeCell ref="N191:O191"/>
    <mergeCell ref="N192:O192"/>
    <mergeCell ref="N193:O193"/>
    <mergeCell ref="P193:Q193"/>
    <mergeCell ref="N194:O194"/>
    <mergeCell ref="N195:O195"/>
    <mergeCell ref="N196:O196"/>
    <mergeCell ref="N197:O197"/>
    <mergeCell ref="N198:O198"/>
    <mergeCell ref="N199:O199"/>
    <mergeCell ref="N200:O200"/>
    <mergeCell ref="P185:Q185"/>
    <mergeCell ref="P186:Q186"/>
    <mergeCell ref="P187:Q187"/>
    <mergeCell ref="P188:Q188"/>
    <mergeCell ref="P189:Q189"/>
    <mergeCell ref="P190:Q190"/>
    <mergeCell ref="P191:Q191"/>
    <mergeCell ref="P192:Q192"/>
    <mergeCell ref="P194:Q194"/>
    <mergeCell ref="P195:Q195"/>
    <mergeCell ref="P196:Q196"/>
    <mergeCell ref="P197:Q197"/>
    <mergeCell ref="P198:Q198"/>
    <mergeCell ref="P199:Q199"/>
    <mergeCell ref="P200:Q200"/>
    <mergeCell ref="N201:O201"/>
    <mergeCell ref="N202:O202"/>
    <mergeCell ref="N203:O203"/>
    <mergeCell ref="N204:O204"/>
    <mergeCell ref="N205:O205"/>
    <mergeCell ref="P205:Q205"/>
    <mergeCell ref="N206:O206"/>
    <mergeCell ref="N207:O207"/>
    <mergeCell ref="N208:O208"/>
    <mergeCell ref="N209:O209"/>
    <mergeCell ref="N210:O210"/>
    <mergeCell ref="N211:O211"/>
    <mergeCell ref="N212:O212"/>
    <mergeCell ref="N213:O213"/>
    <mergeCell ref="N214:O214"/>
    <mergeCell ref="N215:O215"/>
    <mergeCell ref="P201:Q201"/>
    <mergeCell ref="P202:Q202"/>
    <mergeCell ref="P203:Q203"/>
    <mergeCell ref="P204:Q204"/>
    <mergeCell ref="P206:Q206"/>
    <mergeCell ref="P207:Q207"/>
    <mergeCell ref="P208:Q208"/>
    <mergeCell ref="P209:Q209"/>
    <mergeCell ref="P210:Q210"/>
    <mergeCell ref="P211:Q211"/>
    <mergeCell ref="P212:Q212"/>
    <mergeCell ref="P213:Q213"/>
    <mergeCell ref="P214:Q214"/>
    <mergeCell ref="P215:Q215"/>
    <mergeCell ref="N216:O216"/>
    <mergeCell ref="N217:O217"/>
    <mergeCell ref="P217:Q217"/>
    <mergeCell ref="N218:O218"/>
    <mergeCell ref="N219:O219"/>
    <mergeCell ref="N220:O220"/>
    <mergeCell ref="N221:O221"/>
    <mergeCell ref="N222:O222"/>
    <mergeCell ref="N223:O223"/>
    <mergeCell ref="N224:O224"/>
    <mergeCell ref="N225:O225"/>
    <mergeCell ref="N226:O226"/>
    <mergeCell ref="N227:O227"/>
    <mergeCell ref="N228:O228"/>
    <mergeCell ref="P228:Q228"/>
    <mergeCell ref="P234:Q234"/>
    <mergeCell ref="P235:Q235"/>
    <mergeCell ref="P216:Q216"/>
    <mergeCell ref="P218:Q218"/>
    <mergeCell ref="P219:Q219"/>
    <mergeCell ref="P220:Q220"/>
    <mergeCell ref="P221:Q221"/>
    <mergeCell ref="P222:Q222"/>
    <mergeCell ref="P223:Q223"/>
    <mergeCell ref="P224:Q224"/>
    <mergeCell ref="P225:Q225"/>
    <mergeCell ref="P226:Q226"/>
    <mergeCell ref="P227:Q227"/>
    <mergeCell ref="N242:O242"/>
    <mergeCell ref="N251:O251"/>
    <mergeCell ref="N253:O253"/>
    <mergeCell ref="N259:O259"/>
    <mergeCell ref="N263:O263"/>
    <mergeCell ref="N279:O279"/>
    <mergeCell ref="N283:O283"/>
    <mergeCell ref="N285:O285"/>
    <mergeCell ref="N287:O287"/>
    <mergeCell ref="N291:O291"/>
    <mergeCell ref="N294:O294"/>
    <mergeCell ref="N319:O319"/>
    <mergeCell ref="P319:Q319"/>
    <mergeCell ref="N325:O325"/>
    <mergeCell ref="P325:Q325"/>
    <mergeCell ref="P242:Q242"/>
    <mergeCell ref="P251:Q251"/>
    <mergeCell ref="P253:Q253"/>
    <mergeCell ref="P259:Q259"/>
    <mergeCell ref="P263:Q263"/>
    <mergeCell ref="P267:Q267"/>
    <mergeCell ref="N267:O267"/>
    <mergeCell ref="P271:Q271"/>
    <mergeCell ref="N271:O271"/>
    <mergeCell ref="P279:Q279"/>
    <mergeCell ref="P283:Q283"/>
    <mergeCell ref="P285:Q285"/>
    <mergeCell ref="P287:Q287"/>
    <mergeCell ref="P291:Q291"/>
    <mergeCell ref="P315:Q315"/>
    <mergeCell ref="P317:Q317"/>
    <mergeCell ref="P318:Q318"/>
    <mergeCell ref="N390:O390"/>
    <mergeCell ref="N400:O400"/>
    <mergeCell ref="N401:O401"/>
    <mergeCell ref="N402:O402"/>
    <mergeCell ref="N412:O412"/>
    <mergeCell ref="N413:O413"/>
    <mergeCell ref="N414:O414"/>
    <mergeCell ref="N415:O415"/>
    <mergeCell ref="P415:Q415"/>
    <mergeCell ref="N433:O433"/>
    <mergeCell ref="N434:O434"/>
    <mergeCell ref="N435:O435"/>
    <mergeCell ref="P378:Q378"/>
    <mergeCell ref="P379:Q379"/>
    <mergeCell ref="P380:Q380"/>
    <mergeCell ref="P388:Q388"/>
    <mergeCell ref="P389:Q389"/>
    <mergeCell ref="P412:Q412"/>
    <mergeCell ref="P413:Q413"/>
    <mergeCell ref="P414:Q414"/>
    <mergeCell ref="P433:Q433"/>
    <mergeCell ref="P434:Q434"/>
    <mergeCell ref="P435:Q435"/>
    <mergeCell ref="N378:O378"/>
    <mergeCell ref="N379:O379"/>
    <mergeCell ref="N380:O380"/>
    <mergeCell ref="N388:O388"/>
    <mergeCell ref="P422:Q422"/>
    <mergeCell ref="P423:Q423"/>
    <mergeCell ref="P387:Q387"/>
    <mergeCell ref="P392:Q392"/>
    <mergeCell ref="N424:O424"/>
    <mergeCell ref="N680:O680"/>
    <mergeCell ref="N687:O687"/>
    <mergeCell ref="P76:Q76"/>
    <mergeCell ref="P80:Q80"/>
    <mergeCell ref="P84:Q84"/>
    <mergeCell ref="P93:Q93"/>
    <mergeCell ref="P114:Q114"/>
    <mergeCell ref="P115:Q115"/>
    <mergeCell ref="P120:Q120"/>
    <mergeCell ref="P126:Q126"/>
    <mergeCell ref="P127:Q127"/>
    <mergeCell ref="P131:Q131"/>
    <mergeCell ref="P170:Q170"/>
    <mergeCell ref="P171:Q171"/>
    <mergeCell ref="P172:Q172"/>
    <mergeCell ref="P173:Q173"/>
    <mergeCell ref="P174:Q174"/>
    <mergeCell ref="P175:Q175"/>
    <mergeCell ref="P176:Q176"/>
    <mergeCell ref="P177:Q177"/>
    <mergeCell ref="P178:Q178"/>
    <mergeCell ref="P179:Q179"/>
    <mergeCell ref="P180:Q180"/>
    <mergeCell ref="P183:Q183"/>
    <mergeCell ref="N527:O527"/>
    <mergeCell ref="P527:Q527"/>
    <mergeCell ref="N526:O526"/>
    <mergeCell ref="N536:O536"/>
    <mergeCell ref="N537:O537"/>
    <mergeCell ref="N538:O538"/>
    <mergeCell ref="N539:O539"/>
    <mergeCell ref="P539:Q539"/>
    <mergeCell ref="P679:Q679"/>
    <mergeCell ref="P680:Q680"/>
    <mergeCell ref="P687:Q687"/>
    <mergeCell ref="B710:K710"/>
    <mergeCell ref="L710:M710"/>
    <mergeCell ref="N710:O710"/>
    <mergeCell ref="P710:Q710"/>
    <mergeCell ref="P444:Q444"/>
    <mergeCell ref="P445:Q445"/>
    <mergeCell ref="P446:Q446"/>
    <mergeCell ref="P454:Q454"/>
    <mergeCell ref="P455:Q455"/>
    <mergeCell ref="P456:Q456"/>
    <mergeCell ref="P466:Q466"/>
    <mergeCell ref="P467:Q467"/>
    <mergeCell ref="P468:Q468"/>
    <mergeCell ref="P477:Q477"/>
    <mergeCell ref="P478:Q478"/>
    <mergeCell ref="P479:Q479"/>
    <mergeCell ref="P484:Q484"/>
    <mergeCell ref="P485:Q485"/>
    <mergeCell ref="P486:Q486"/>
    <mergeCell ref="P491:Q491"/>
    <mergeCell ref="P492:Q492"/>
    <mergeCell ref="N664:O664"/>
    <mergeCell ref="N665:O665"/>
    <mergeCell ref="N666:O666"/>
    <mergeCell ref="N671:O671"/>
    <mergeCell ref="N672:O672"/>
    <mergeCell ref="N673:O673"/>
    <mergeCell ref="N678:O678"/>
    <mergeCell ref="N679:O679"/>
    <mergeCell ref="P672:Q672"/>
    <mergeCell ref="P673:Q673"/>
    <mergeCell ref="P678:Q678"/>
    <mergeCell ref="N555:O555"/>
    <mergeCell ref="N556:O556"/>
    <mergeCell ref="N557:O557"/>
    <mergeCell ref="N565:O565"/>
    <mergeCell ref="N566:O566"/>
    <mergeCell ref="N567:O567"/>
    <mergeCell ref="N575:O575"/>
    <mergeCell ref="N576:O576"/>
    <mergeCell ref="N577:O577"/>
    <mergeCell ref="P526:Q526"/>
    <mergeCell ref="P536:Q536"/>
    <mergeCell ref="P537:Q537"/>
    <mergeCell ref="P538:Q538"/>
    <mergeCell ref="P555:Q555"/>
    <mergeCell ref="P556:Q556"/>
    <mergeCell ref="P565:Q565"/>
    <mergeCell ref="P566:Q566"/>
    <mergeCell ref="P567:Q567"/>
    <mergeCell ref="P575:Q575"/>
    <mergeCell ref="P576:Q576"/>
    <mergeCell ref="P577:Q577"/>
    <mergeCell ref="N568:O568"/>
    <mergeCell ref="P568:Q568"/>
    <mergeCell ref="P562:Q562"/>
    <mergeCell ref="P563:Q563"/>
    <mergeCell ref="P564:Q564"/>
    <mergeCell ref="P551:Q551"/>
    <mergeCell ref="P552:Q552"/>
    <mergeCell ref="P553:Q553"/>
    <mergeCell ref="L241:M241"/>
    <mergeCell ref="N241:O241"/>
    <mergeCell ref="P241:Q241"/>
    <mergeCell ref="L73:M73"/>
    <mergeCell ref="N73:O73"/>
    <mergeCell ref="P73:Q73"/>
    <mergeCell ref="L72:M72"/>
    <mergeCell ref="N72:O72"/>
    <mergeCell ref="P72:Q72"/>
    <mergeCell ref="P643:Q643"/>
    <mergeCell ref="P653:Q653"/>
    <mergeCell ref="P654:Q654"/>
    <mergeCell ref="P655:Q655"/>
    <mergeCell ref="P664:Q664"/>
    <mergeCell ref="P665:Q665"/>
    <mergeCell ref="P666:Q666"/>
    <mergeCell ref="P671:Q671"/>
    <mergeCell ref="N468:O468"/>
    <mergeCell ref="N477:O477"/>
    <mergeCell ref="N478:O478"/>
    <mergeCell ref="N479:O479"/>
    <mergeCell ref="N484:O484"/>
    <mergeCell ref="N485:O485"/>
    <mergeCell ref="N486:O486"/>
    <mergeCell ref="N491:O491"/>
    <mergeCell ref="N492:O492"/>
    <mergeCell ref="N493:O493"/>
    <mergeCell ref="N506:O506"/>
    <mergeCell ref="P506:Q506"/>
    <mergeCell ref="N512:O512"/>
    <mergeCell ref="P512:Q512"/>
    <mergeCell ref="N514:O514"/>
  </mergeCells>
  <phoneticPr fontId="7" type="noConversion"/>
  <pageMargins left="0.511811024" right="0.511811024" top="0.78740157499999996" bottom="0.78740157499999996" header="0.31496062000000002" footer="0.31496062000000002"/>
  <pageSetup paperSize="9" orientation="portrait" r:id="rId1"/>
  <ignoredErrors>
    <ignoredError sqref="D456 D450:D455 D637:D643 D460:D467 D647:D654" numberStoredAsText="1"/>
    <ignoredError sqref="L328 L517 L515 N169" formula="1"/>
  </ignoredErrors>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8">
    <tabColor rgb="FFC17988"/>
  </sheetPr>
  <dimension ref="B1:AE23"/>
  <sheetViews>
    <sheetView topLeftCell="A4" zoomScale="39" zoomScaleNormal="39" workbookViewId="0">
      <selection activeCell="G5" sqref="G5:H5"/>
    </sheetView>
  </sheetViews>
  <sheetFormatPr defaultRowHeight="23.25" x14ac:dyDescent="0.35"/>
  <cols>
    <col min="1" max="5" width="9.140625" style="15"/>
    <col min="6" max="6" width="38.85546875" style="15" customWidth="1"/>
    <col min="7" max="7" width="19.85546875" style="15" customWidth="1"/>
    <col min="8" max="8" width="25.7109375" style="15" customWidth="1"/>
    <col min="9" max="10" width="41.85546875" style="358" customWidth="1"/>
    <col min="11" max="30" width="9.140625" style="15"/>
    <col min="31" max="31" width="38.85546875" style="15" customWidth="1"/>
    <col min="32" max="16384" width="9.140625" style="15"/>
  </cols>
  <sheetData>
    <row r="1" spans="2:31" ht="38.25" thickBot="1" x14ac:dyDescent="0.55000000000000004">
      <c r="B1" s="1144" t="s">
        <v>1038</v>
      </c>
      <c r="C1" s="1145"/>
      <c r="D1" s="1145"/>
      <c r="E1" s="1145"/>
      <c r="F1" s="1145"/>
      <c r="G1" s="1145"/>
      <c r="H1" s="1145"/>
      <c r="I1" s="1145"/>
      <c r="J1" s="1145"/>
      <c r="K1" s="1145"/>
      <c r="L1" s="1145"/>
      <c r="M1" s="1145"/>
      <c r="N1" s="1145"/>
      <c r="O1" s="1145"/>
      <c r="P1" s="1145"/>
      <c r="Q1" s="1145"/>
      <c r="R1" s="1145"/>
      <c r="S1" s="1145"/>
      <c r="T1" s="1145"/>
      <c r="U1" s="1145"/>
      <c r="V1" s="1145"/>
      <c r="W1" s="1145"/>
      <c r="X1" s="1145"/>
      <c r="Y1" s="1145"/>
      <c r="Z1" s="1145"/>
      <c r="AA1" s="1145"/>
      <c r="AB1" s="1145"/>
      <c r="AC1" s="1146"/>
      <c r="AE1" s="593">
        <f ca="1">NOW()</f>
        <v>44379.684951388888</v>
      </c>
    </row>
    <row r="2" spans="2:31" s="25" customFormat="1" ht="27.75" customHeight="1" thickBot="1" x14ac:dyDescent="0.55000000000000004">
      <c r="B2" s="27"/>
      <c r="C2" s="589"/>
      <c r="D2" s="589"/>
      <c r="E2" s="589"/>
      <c r="F2" s="589"/>
      <c r="G2" s="589"/>
      <c r="H2" s="589"/>
      <c r="I2" s="589"/>
      <c r="J2" s="589"/>
      <c r="K2" s="589"/>
      <c r="L2" s="589"/>
      <c r="M2" s="589"/>
      <c r="N2" s="589"/>
      <c r="AC2" s="28"/>
    </row>
    <row r="3" spans="2:31" ht="78" customHeight="1" x14ac:dyDescent="0.35">
      <c r="B3" s="27"/>
      <c r="C3" s="1151" t="s">
        <v>582</v>
      </c>
      <c r="D3" s="1152"/>
      <c r="E3" s="1152"/>
      <c r="F3" s="1152"/>
      <c r="G3" s="1155" t="s">
        <v>837</v>
      </c>
      <c r="H3" s="1155"/>
      <c r="I3" s="610" t="s">
        <v>842</v>
      </c>
      <c r="J3" s="607" t="s">
        <v>1082</v>
      </c>
      <c r="K3" s="25"/>
      <c r="L3" s="25"/>
      <c r="M3" s="25"/>
      <c r="N3" s="25"/>
      <c r="O3" s="25"/>
      <c r="P3" s="25"/>
      <c r="Q3" s="25"/>
      <c r="R3" s="25"/>
      <c r="S3" s="25"/>
      <c r="T3" s="25"/>
      <c r="U3" s="25"/>
      <c r="V3" s="25"/>
      <c r="W3" s="25"/>
      <c r="X3" s="25"/>
      <c r="Y3" s="25"/>
      <c r="Z3" s="25"/>
      <c r="AA3" s="25"/>
      <c r="AB3" s="25"/>
      <c r="AC3" s="28"/>
    </row>
    <row r="4" spans="2:31" ht="26.25" x14ac:dyDescent="0.4">
      <c r="B4" s="27"/>
      <c r="C4" s="1153" t="s">
        <v>998</v>
      </c>
      <c r="D4" s="1154"/>
      <c r="E4" s="1154"/>
      <c r="F4" s="1154"/>
      <c r="G4" s="1142">
        <f>'Custo de produção por lotes'!$L$245</f>
        <v>714348.68814976595</v>
      </c>
      <c r="H4" s="1142"/>
      <c r="I4" s="682">
        <f>$G$4/'Custo de produção por lotes'!$L$709</f>
        <v>0.81228115315663818</v>
      </c>
      <c r="J4" s="683">
        <f>'Custo de produção por lotes'!$L$713*'Resumo custos'!$I$4</f>
        <v>6.7605425028175476</v>
      </c>
      <c r="K4" s="25"/>
      <c r="L4" s="25"/>
      <c r="M4" s="25"/>
      <c r="N4" s="25"/>
      <c r="O4" s="25"/>
      <c r="P4" s="25"/>
      <c r="Q4" s="25"/>
      <c r="R4" s="25"/>
      <c r="S4" s="25"/>
      <c r="T4" s="25"/>
      <c r="U4" s="25"/>
      <c r="V4" s="25"/>
      <c r="W4" s="25"/>
      <c r="X4" s="25"/>
      <c r="Y4" s="25"/>
      <c r="Z4" s="25"/>
      <c r="AA4" s="25"/>
      <c r="AB4" s="25"/>
      <c r="AC4" s="28"/>
    </row>
    <row r="5" spans="2:31" ht="45.75" customHeight="1" x14ac:dyDescent="0.4">
      <c r="B5" s="27"/>
      <c r="C5" s="1147" t="s">
        <v>999</v>
      </c>
      <c r="D5" s="1148"/>
      <c r="E5" s="1148"/>
      <c r="F5" s="1148"/>
      <c r="G5" s="1142">
        <f>'Custo de produção por lotes'!$L$690</f>
        <v>116609.96256630763</v>
      </c>
      <c r="H5" s="1142"/>
      <c r="I5" s="682">
        <f>$G$5/'Custo de produção por lotes'!L709</f>
        <v>0.13259641465605149</v>
      </c>
      <c r="J5" s="683">
        <f>'Custo de produção por lotes'!$L$713*'Resumo custos'!$I$5</f>
        <v>1.1035879553770609</v>
      </c>
      <c r="K5" s="25"/>
      <c r="L5" s="25"/>
      <c r="M5" s="25"/>
      <c r="N5" s="25"/>
      <c r="O5" s="25"/>
      <c r="P5" s="25"/>
      <c r="Q5" s="25"/>
      <c r="R5" s="25"/>
      <c r="S5" s="25"/>
      <c r="T5" s="25"/>
      <c r="U5" s="25"/>
      <c r="V5" s="25"/>
      <c r="W5" s="25"/>
      <c r="X5" s="25"/>
      <c r="Y5" s="25"/>
      <c r="Z5" s="25"/>
      <c r="AA5" s="25"/>
      <c r="AB5" s="25"/>
      <c r="AC5" s="28"/>
    </row>
    <row r="6" spans="2:31" ht="50.25" customHeight="1" x14ac:dyDescent="0.4">
      <c r="B6" s="27"/>
      <c r="C6" s="1147" t="s">
        <v>1000</v>
      </c>
      <c r="D6" s="1148"/>
      <c r="E6" s="1148"/>
      <c r="F6" s="1148"/>
      <c r="G6" s="1142">
        <f>'Custo de produção por lotes'!$L$707</f>
        <v>48476.610552401035</v>
      </c>
      <c r="H6" s="1142"/>
      <c r="I6" s="682">
        <f>$G$6/'Custo de produção por lotes'!L709</f>
        <v>5.5122432187310326E-2</v>
      </c>
      <c r="J6" s="683">
        <f>'Custo de produção por lotes'!$L$713*'Resumo custos'!$I$6</f>
        <v>0.45877901292279177</v>
      </c>
      <c r="K6" s="25"/>
      <c r="L6" s="25"/>
      <c r="M6" s="25"/>
      <c r="N6" s="25"/>
      <c r="O6" s="25"/>
      <c r="P6" s="25"/>
      <c r="Q6" s="25"/>
      <c r="R6" s="25"/>
      <c r="S6" s="25"/>
      <c r="T6" s="25"/>
      <c r="U6" s="25"/>
      <c r="V6" s="25"/>
      <c r="W6" s="25"/>
      <c r="X6" s="25"/>
      <c r="Y6" s="25"/>
      <c r="Z6" s="25"/>
      <c r="AA6" s="25"/>
      <c r="AB6" s="25"/>
      <c r="AC6" s="28"/>
    </row>
    <row r="7" spans="2:31" ht="26.25" thickBot="1" x14ac:dyDescent="0.4">
      <c r="B7" s="27"/>
      <c r="C7" s="611" t="s">
        <v>843</v>
      </c>
      <c r="D7" s="612"/>
      <c r="E7" s="612"/>
      <c r="F7" s="612"/>
      <c r="G7" s="1137">
        <f>SUM(G4:H6)</f>
        <v>879435.26126847463</v>
      </c>
      <c r="H7" s="1137"/>
      <c r="I7" s="613">
        <f>SUM(I4:I6)</f>
        <v>1</v>
      </c>
      <c r="J7" s="609">
        <f>SUM(J4:J6)</f>
        <v>8.3229094711174003</v>
      </c>
      <c r="K7" s="25"/>
      <c r="L7" s="25"/>
      <c r="M7" s="25"/>
      <c r="N7" s="25"/>
      <c r="O7" s="25"/>
      <c r="P7" s="25"/>
      <c r="Q7" s="25"/>
      <c r="R7" s="25"/>
      <c r="S7" s="25"/>
      <c r="T7" s="25"/>
      <c r="U7" s="25"/>
      <c r="V7" s="25"/>
      <c r="W7" s="25"/>
      <c r="X7" s="25"/>
      <c r="Y7" s="25"/>
      <c r="Z7" s="25"/>
      <c r="AA7" s="25"/>
      <c r="AB7" s="25"/>
      <c r="AC7" s="28"/>
    </row>
    <row r="8" spans="2:31" ht="24" thickBot="1" x14ac:dyDescent="0.4">
      <c r="B8" s="27"/>
      <c r="C8" s="284"/>
      <c r="D8" s="25"/>
      <c r="E8" s="285"/>
      <c r="F8" s="286"/>
      <c r="G8" s="794"/>
      <c r="H8" s="794"/>
      <c r="I8" s="584"/>
      <c r="J8" s="596"/>
      <c r="K8" s="25"/>
      <c r="L8" s="25"/>
      <c r="M8" s="25"/>
      <c r="N8" s="25"/>
      <c r="O8" s="25"/>
      <c r="P8" s="25"/>
      <c r="Q8" s="25"/>
      <c r="R8" s="25"/>
      <c r="S8" s="25"/>
      <c r="T8" s="25"/>
      <c r="U8" s="25"/>
      <c r="V8" s="25"/>
      <c r="W8" s="25"/>
      <c r="X8" s="25"/>
      <c r="Y8" s="25"/>
      <c r="Z8" s="25"/>
      <c r="AA8" s="25"/>
      <c r="AB8" s="25"/>
      <c r="AC8" s="28"/>
    </row>
    <row r="9" spans="2:31" ht="63" customHeight="1" x14ac:dyDescent="0.35">
      <c r="B9" s="27"/>
      <c r="C9" s="1151" t="s">
        <v>589</v>
      </c>
      <c r="D9" s="1152"/>
      <c r="E9" s="1152"/>
      <c r="F9" s="1152"/>
      <c r="G9" s="1155" t="s">
        <v>837</v>
      </c>
      <c r="H9" s="1155"/>
      <c r="I9" s="610" t="s">
        <v>842</v>
      </c>
      <c r="J9" s="607" t="s">
        <v>1082</v>
      </c>
      <c r="K9" s="25"/>
      <c r="L9" s="25"/>
      <c r="M9" s="25"/>
      <c r="N9" s="25"/>
      <c r="O9" s="25"/>
      <c r="P9" s="25"/>
      <c r="Q9" s="25"/>
      <c r="R9" s="25"/>
      <c r="S9" s="25"/>
      <c r="T9" s="25"/>
      <c r="U9" s="25"/>
      <c r="V9" s="25"/>
      <c r="W9" s="25"/>
      <c r="X9" s="25"/>
      <c r="Y9" s="25"/>
      <c r="Z9" s="25"/>
      <c r="AA9" s="25"/>
      <c r="AB9" s="25"/>
      <c r="AC9" s="28"/>
    </row>
    <row r="10" spans="2:31" ht="26.25" x14ac:dyDescent="0.4">
      <c r="B10" s="27"/>
      <c r="C10" s="352" t="s">
        <v>583</v>
      </c>
      <c r="D10" s="354"/>
      <c r="E10" s="355"/>
      <c r="F10" s="355"/>
      <c r="G10" s="1143">
        <f>'Custo de produção por lotes'!L49</f>
        <v>637206.48927982408</v>
      </c>
      <c r="H10" s="1143"/>
      <c r="I10" s="605">
        <f>G10/'Custo de produção por lotes'!$L$709</f>
        <v>0.72456327070708304</v>
      </c>
      <c r="J10" s="608">
        <f>'Custo de produção por lotes'!$L$713*'Resumo custos'!I10</f>
        <v>6.0304745081917819</v>
      </c>
      <c r="K10" s="25"/>
      <c r="L10" s="25"/>
      <c r="M10" s="25"/>
      <c r="N10" s="25"/>
      <c r="O10" s="25"/>
      <c r="P10" s="25"/>
      <c r="Q10" s="25"/>
      <c r="R10" s="25"/>
      <c r="S10" s="25"/>
      <c r="T10" s="25"/>
      <c r="U10" s="25"/>
      <c r="V10" s="25"/>
      <c r="W10" s="25"/>
      <c r="X10" s="25"/>
      <c r="Y10" s="25"/>
      <c r="Z10" s="25"/>
      <c r="AA10" s="25"/>
      <c r="AB10" s="25"/>
      <c r="AC10" s="28"/>
    </row>
    <row r="11" spans="2:31" ht="26.25" x14ac:dyDescent="0.4">
      <c r="B11" s="27"/>
      <c r="C11" s="352" t="s">
        <v>93</v>
      </c>
      <c r="D11" s="354"/>
      <c r="E11" s="355"/>
      <c r="F11" s="355"/>
      <c r="G11" s="1138">
        <f>'Custo de produção por lotes'!L229</f>
        <v>5769.4623023136674</v>
      </c>
      <c r="H11" s="1138"/>
      <c r="I11" s="605">
        <f>G11/'Custo de produção por lotes'!$L$709</f>
        <v>6.5604173000658903E-3</v>
      </c>
      <c r="J11" s="608">
        <f>'Custo de produção por lotes'!$L$713*'Resumo custos'!I11</f>
        <v>5.460175928120084E-2</v>
      </c>
      <c r="K11" s="25"/>
      <c r="L11" s="25"/>
      <c r="M11" s="25"/>
      <c r="N11" s="25"/>
      <c r="O11" s="25"/>
      <c r="P11" s="25"/>
      <c r="Q11" s="25"/>
      <c r="R11" s="25"/>
      <c r="S11" s="25"/>
      <c r="T11" s="25"/>
      <c r="U11" s="25"/>
      <c r="V11" s="25"/>
      <c r="W11" s="25"/>
      <c r="X11" s="25"/>
      <c r="Y11" s="25"/>
      <c r="Z11" s="25"/>
      <c r="AA11" s="25"/>
      <c r="AB11" s="25"/>
      <c r="AC11" s="28"/>
    </row>
    <row r="12" spans="2:31" ht="26.25" x14ac:dyDescent="0.4">
      <c r="B12" s="27"/>
      <c r="C12" s="352" t="s">
        <v>586</v>
      </c>
      <c r="D12" s="354"/>
      <c r="E12" s="355"/>
      <c r="F12" s="355"/>
      <c r="G12" s="1138">
        <f>'Custo de produção por lotes'!L500</f>
        <v>33039.381205038815</v>
      </c>
      <c r="H12" s="1139"/>
      <c r="I12" s="605">
        <f>G12/'Custo de produção por lotes'!$L$709</f>
        <v>3.7568861131840069E-2</v>
      </c>
      <c r="J12" s="608">
        <f>'Custo de produção por lotes'!$L$713*'Resumo custos'!I12</f>
        <v>0.31268223013328611</v>
      </c>
      <c r="K12" s="25"/>
      <c r="L12" s="25"/>
      <c r="M12" s="25"/>
      <c r="N12" s="25"/>
      <c r="O12" s="25"/>
      <c r="P12" s="25"/>
      <c r="Q12" s="25"/>
      <c r="R12" s="25"/>
      <c r="S12" s="25"/>
      <c r="T12" s="25"/>
      <c r="U12" s="25"/>
      <c r="V12" s="25"/>
      <c r="W12" s="25"/>
      <c r="X12" s="25"/>
      <c r="Y12" s="25"/>
      <c r="Z12" s="25"/>
      <c r="AA12" s="25"/>
      <c r="AB12" s="25"/>
      <c r="AC12" s="28"/>
    </row>
    <row r="13" spans="2:31" ht="26.25" x14ac:dyDescent="0.4">
      <c r="B13" s="27"/>
      <c r="C13" s="352" t="s">
        <v>840</v>
      </c>
      <c r="D13" s="354"/>
      <c r="E13" s="355"/>
      <c r="F13" s="355"/>
      <c r="G13" s="1138">
        <f>SUM('Custo de produção por lotes'!L306,'Custo de produção por lotes'!L312)</f>
        <v>5303.2934407364792</v>
      </c>
      <c r="H13" s="1138"/>
      <c r="I13" s="605">
        <f>G13/'Custo de produção por lotes'!$L$709</f>
        <v>6.030339780880683E-3</v>
      </c>
      <c r="J13" s="608">
        <f>'Custo de produção por lotes'!$L$713*'Resumo custos'!I13</f>
        <v>5.0189972076347865E-2</v>
      </c>
      <c r="K13" s="25"/>
      <c r="L13" s="25"/>
      <c r="M13" s="25"/>
      <c r="N13" s="25"/>
      <c r="O13" s="25"/>
      <c r="P13" s="25"/>
      <c r="Q13" s="25"/>
      <c r="R13" s="25"/>
      <c r="S13" s="25"/>
      <c r="T13" s="25"/>
      <c r="U13" s="25"/>
      <c r="V13" s="25"/>
      <c r="W13" s="25"/>
      <c r="X13" s="25"/>
      <c r="Y13" s="25"/>
      <c r="Z13" s="25"/>
      <c r="AA13" s="25"/>
      <c r="AB13" s="25"/>
      <c r="AC13" s="28"/>
    </row>
    <row r="14" spans="2:31" ht="26.25" x14ac:dyDescent="0.4">
      <c r="B14" s="27"/>
      <c r="C14" s="352" t="s">
        <v>54</v>
      </c>
      <c r="D14" s="354"/>
      <c r="E14" s="355"/>
      <c r="F14" s="355"/>
      <c r="G14" s="1138">
        <f>'Custo de produção por lotes'!L155</f>
        <v>4738.7750305921172</v>
      </c>
      <c r="H14" s="1139"/>
      <c r="I14" s="605">
        <f>G14/'Custo de produção por lotes'!$L$709</f>
        <v>5.3884296426288739E-3</v>
      </c>
      <c r="J14" s="608">
        <f>'Custo de produção por lotes'!$L$713*'Resumo custos'!I14</f>
        <v>4.48474121070856E-2</v>
      </c>
      <c r="K14" s="25"/>
      <c r="L14" s="25"/>
      <c r="M14" s="25"/>
      <c r="N14" s="25"/>
      <c r="O14" s="25"/>
      <c r="P14" s="25"/>
      <c r="Q14" s="25"/>
      <c r="R14" s="25"/>
      <c r="S14" s="25"/>
      <c r="T14" s="25"/>
      <c r="U14" s="25"/>
      <c r="V14" s="25"/>
      <c r="W14" s="25"/>
      <c r="X14" s="25"/>
      <c r="Y14" s="25"/>
      <c r="Z14" s="25"/>
      <c r="AA14" s="25"/>
      <c r="AB14" s="25"/>
      <c r="AC14" s="28"/>
    </row>
    <row r="15" spans="2:31" ht="26.25" x14ac:dyDescent="0.4">
      <c r="B15" s="27"/>
      <c r="C15" s="352" t="s">
        <v>587</v>
      </c>
      <c r="D15" s="354"/>
      <c r="E15" s="355"/>
      <c r="F15" s="355"/>
      <c r="G15" s="1138">
        <f>'Custo de produção por lotes'!L682</f>
        <v>52015.750899550891</v>
      </c>
      <c r="H15" s="1139"/>
      <c r="I15" s="605">
        <f>G15/'Custo de produção por lotes'!$L$709</f>
        <v>5.9146765191703504E-2</v>
      </c>
      <c r="J15" s="608">
        <f>'Custo de produção por lotes'!$L$713*'Resumo custos'!I15</f>
        <v>0.49227317219998606</v>
      </c>
      <c r="K15" s="25"/>
      <c r="L15" s="25"/>
      <c r="M15" s="25"/>
      <c r="N15" s="25"/>
      <c r="O15" s="25"/>
      <c r="P15" s="25"/>
      <c r="Q15" s="25"/>
      <c r="R15" s="25"/>
      <c r="S15" s="25"/>
      <c r="T15" s="25"/>
      <c r="U15" s="25"/>
      <c r="V15" s="25"/>
      <c r="W15" s="25"/>
      <c r="X15" s="25"/>
      <c r="Y15" s="25"/>
      <c r="Z15" s="25"/>
      <c r="AA15" s="25"/>
      <c r="AB15" s="25"/>
      <c r="AC15" s="28"/>
    </row>
    <row r="16" spans="2:31" ht="26.25" x14ac:dyDescent="0.4">
      <c r="B16" s="27"/>
      <c r="C16" s="352" t="s">
        <v>585</v>
      </c>
      <c r="D16" s="354"/>
      <c r="E16" s="355"/>
      <c r="F16" s="355"/>
      <c r="G16" s="1138">
        <f>'Custo de produção por lotes'!L296</f>
        <v>21314.84925201381</v>
      </c>
      <c r="H16" s="1139"/>
      <c r="I16" s="605">
        <f>G16/'Custo de produção por lotes'!$L$709</f>
        <v>2.4236973647463057E-2</v>
      </c>
      <c r="J16" s="608">
        <f>'Custo de produção por lotes'!$L$713*'Resumo custos'!I16</f>
        <v>0.20172213752169313</v>
      </c>
      <c r="K16" s="25"/>
      <c r="L16" s="25"/>
      <c r="M16" s="25"/>
      <c r="N16" s="25"/>
      <c r="O16" s="25"/>
      <c r="P16" s="25"/>
      <c r="Q16" s="25"/>
      <c r="R16" s="25"/>
      <c r="S16" s="25"/>
      <c r="T16" s="25"/>
      <c r="U16" s="25"/>
      <c r="V16" s="25"/>
      <c r="W16" s="25"/>
      <c r="X16" s="25"/>
      <c r="Y16" s="25"/>
      <c r="Z16" s="25"/>
      <c r="AA16" s="25"/>
      <c r="AB16" s="25"/>
      <c r="AC16" s="28"/>
    </row>
    <row r="17" spans="2:29" ht="51" customHeight="1" x14ac:dyDescent="0.4">
      <c r="B17" s="27"/>
      <c r="C17" s="1149" t="s">
        <v>1011</v>
      </c>
      <c r="D17" s="1150"/>
      <c r="E17" s="1150"/>
      <c r="F17" s="1150"/>
      <c r="G17" s="1140">
        <f>'Custo de produção por lotes'!L707</f>
        <v>48476.610552401035</v>
      </c>
      <c r="H17" s="1141"/>
      <c r="I17" s="606">
        <f>G17/'Custo de produção por lotes'!$L$709</f>
        <v>5.5122432187310326E-2</v>
      </c>
      <c r="J17" s="608">
        <f>'Custo de produção por lotes'!$L$713*'Resumo custos'!I17</f>
        <v>0.45877901292279177</v>
      </c>
      <c r="K17" s="25"/>
      <c r="L17" s="25"/>
      <c r="M17" s="25"/>
      <c r="N17" s="25"/>
      <c r="O17" s="25"/>
      <c r="P17" s="25"/>
      <c r="Q17" s="25"/>
      <c r="R17" s="25"/>
      <c r="S17" s="25"/>
      <c r="T17" s="25"/>
      <c r="U17" s="25"/>
      <c r="V17" s="25"/>
      <c r="W17" s="25"/>
      <c r="X17" s="25"/>
      <c r="Y17" s="25"/>
      <c r="Z17" s="25"/>
      <c r="AA17" s="25"/>
      <c r="AB17" s="25"/>
      <c r="AC17" s="28"/>
    </row>
    <row r="18" spans="2:29" ht="26.25" x14ac:dyDescent="0.4">
      <c r="B18" s="27"/>
      <c r="C18" s="353" t="s">
        <v>584</v>
      </c>
      <c r="D18" s="356"/>
      <c r="E18" s="357"/>
      <c r="F18" s="357"/>
      <c r="G18" s="1143">
        <f>'Custo de produção por lotes'!L134</f>
        <v>49992.907877230726</v>
      </c>
      <c r="H18" s="1143"/>
      <c r="I18" s="605">
        <f>G18/'Custo de produção por lotes'!$L$709</f>
        <v>5.6846603813818258E-2</v>
      </c>
      <c r="J18" s="608">
        <f>'Custo de produção por lotes'!$L$713*'Resumo custos'!I18</f>
        <v>0.47312913728288652</v>
      </c>
      <c r="K18" s="25"/>
      <c r="L18" s="25"/>
      <c r="M18" s="25"/>
      <c r="N18" s="25"/>
      <c r="O18" s="25"/>
      <c r="P18" s="25"/>
      <c r="Q18" s="25"/>
      <c r="R18" s="25"/>
      <c r="S18" s="25"/>
      <c r="T18" s="25"/>
      <c r="U18" s="25"/>
      <c r="V18" s="25"/>
      <c r="W18" s="25"/>
      <c r="X18" s="25"/>
      <c r="Y18" s="25"/>
      <c r="Z18" s="25"/>
      <c r="AA18" s="25"/>
      <c r="AB18" s="25"/>
      <c r="AC18" s="28"/>
    </row>
    <row r="19" spans="2:29" ht="26.25" x14ac:dyDescent="0.4">
      <c r="B19" s="27"/>
      <c r="C19" s="352" t="s">
        <v>588</v>
      </c>
      <c r="D19" s="354"/>
      <c r="E19" s="355"/>
      <c r="F19" s="355"/>
      <c r="G19" s="1138">
        <f>SUM('Custo de produção por lotes'!L688:M688,'Custo de produção por lotes'!L243:M243)</f>
        <v>19278.193659676639</v>
      </c>
      <c r="H19" s="1139"/>
      <c r="I19" s="605">
        <f>G19/'Custo de produção por lotes'!$L$709</f>
        <v>2.192110608786629E-2</v>
      </c>
      <c r="J19" s="608">
        <f>'Custo de produção por lotes'!$L$713*'Resumo custos'!I19</f>
        <v>0.18244738147607165</v>
      </c>
      <c r="K19" s="25"/>
      <c r="L19" s="25"/>
      <c r="M19" s="25"/>
      <c r="N19" s="25"/>
      <c r="O19" s="25"/>
      <c r="P19" s="25"/>
      <c r="Q19" s="25"/>
      <c r="R19" s="25"/>
      <c r="S19" s="25"/>
      <c r="T19" s="25"/>
      <c r="U19" s="25"/>
      <c r="V19" s="25"/>
      <c r="W19" s="25"/>
      <c r="X19" s="25"/>
      <c r="Y19" s="25"/>
      <c r="Z19" s="25"/>
      <c r="AA19" s="25"/>
      <c r="AB19" s="25"/>
      <c r="AC19" s="28"/>
    </row>
    <row r="20" spans="2:29" ht="26.25" x14ac:dyDescent="0.4">
      <c r="B20" s="27"/>
      <c r="C20" s="352" t="s">
        <v>839</v>
      </c>
      <c r="D20" s="354"/>
      <c r="E20" s="355"/>
      <c r="F20" s="355"/>
      <c r="G20" s="1138">
        <f>'Custo de produção por lotes'!L302</f>
        <v>57.783659378596091</v>
      </c>
      <c r="H20" s="1138"/>
      <c r="I20" s="605">
        <f>G20/'Custo de produção por lotes'!$L$709</f>
        <v>6.5705415649641382E-5</v>
      </c>
      <c r="J20" s="614">
        <f>'Custo de produção por lotes'!$L$713*'Resumo custos'!I20</f>
        <v>5.4686022621410575E-4</v>
      </c>
      <c r="K20" s="25"/>
      <c r="L20" s="25"/>
      <c r="M20" s="25"/>
      <c r="N20" s="25"/>
      <c r="O20" s="25"/>
      <c r="P20" s="25"/>
      <c r="Q20" s="25"/>
      <c r="R20" s="25"/>
      <c r="S20" s="25"/>
      <c r="T20" s="25"/>
      <c r="U20" s="25"/>
      <c r="V20" s="25"/>
      <c r="W20" s="25"/>
      <c r="X20" s="25"/>
      <c r="Y20" s="25"/>
      <c r="Z20" s="25"/>
      <c r="AA20" s="25"/>
      <c r="AB20" s="25"/>
      <c r="AC20" s="28"/>
    </row>
    <row r="21" spans="2:29" ht="26.25" x14ac:dyDescent="0.4">
      <c r="B21" s="27"/>
      <c r="C21" s="352" t="s">
        <v>838</v>
      </c>
      <c r="D21" s="354"/>
      <c r="E21" s="355"/>
      <c r="F21" s="355"/>
      <c r="G21" s="1138">
        <f>'Custo de produção por lotes'!L236</f>
        <v>2241.7641097177338</v>
      </c>
      <c r="H21" s="1138"/>
      <c r="I21" s="605">
        <f>G21/'Custo de produção por lotes'!$L$709</f>
        <v>2.5490950936903206E-3</v>
      </c>
      <c r="J21" s="608">
        <f>'Custo de produção por lotes'!$L$713*'Resumo custos'!I21</f>
        <v>2.1215887698054065E-2</v>
      </c>
      <c r="K21" s="25"/>
      <c r="L21" s="25"/>
      <c r="M21" s="25"/>
      <c r="N21" s="25"/>
      <c r="O21" s="25"/>
      <c r="P21" s="25"/>
      <c r="Q21" s="25"/>
      <c r="R21" s="25"/>
      <c r="S21" s="25"/>
      <c r="T21" s="25"/>
      <c r="U21" s="25"/>
      <c r="V21" s="25"/>
      <c r="W21" s="25"/>
      <c r="X21" s="25"/>
      <c r="Y21" s="25"/>
      <c r="Z21" s="25"/>
      <c r="AA21" s="25"/>
      <c r="AB21" s="25"/>
      <c r="AC21" s="28"/>
    </row>
    <row r="22" spans="2:29" ht="26.25" thickBot="1" x14ac:dyDescent="0.4">
      <c r="B22" s="27"/>
      <c r="C22" s="611" t="s">
        <v>843</v>
      </c>
      <c r="D22" s="612"/>
      <c r="E22" s="612"/>
      <c r="F22" s="612"/>
      <c r="G22" s="1137">
        <f>SUM(G10:H21)</f>
        <v>879435.26126847463</v>
      </c>
      <c r="H22" s="1137"/>
      <c r="I22" s="613">
        <f>SUM(I10:I21)</f>
        <v>0.99999999999999967</v>
      </c>
      <c r="J22" s="609">
        <f>SUM(J10:J21)</f>
        <v>8.3229094711173968</v>
      </c>
      <c r="K22" s="25"/>
      <c r="L22" s="25"/>
      <c r="M22" s="25"/>
      <c r="N22" s="25"/>
      <c r="O22" s="25"/>
      <c r="P22" s="25"/>
      <c r="Q22" s="25"/>
      <c r="R22" s="25"/>
      <c r="S22" s="25"/>
      <c r="T22" s="25"/>
      <c r="U22" s="25"/>
      <c r="V22" s="25"/>
      <c r="W22" s="25"/>
      <c r="X22" s="25"/>
      <c r="Y22" s="25"/>
      <c r="Z22" s="25"/>
      <c r="AA22" s="25"/>
      <c r="AB22" s="25"/>
      <c r="AC22" s="28"/>
    </row>
    <row r="23" spans="2:29" ht="24" thickBot="1" x14ac:dyDescent="0.4">
      <c r="B23" s="45"/>
      <c r="C23" s="46"/>
      <c r="D23" s="46"/>
      <c r="E23" s="46"/>
      <c r="F23" s="46"/>
      <c r="G23" s="46"/>
      <c r="H23" s="46"/>
      <c r="I23" s="585"/>
      <c r="J23" s="585"/>
      <c r="K23" s="46"/>
      <c r="L23" s="46"/>
      <c r="M23" s="46"/>
      <c r="N23" s="46"/>
      <c r="O23" s="46"/>
      <c r="P23" s="46"/>
      <c r="Q23" s="46"/>
      <c r="R23" s="46"/>
      <c r="S23" s="46"/>
      <c r="T23" s="46"/>
      <c r="U23" s="46"/>
      <c r="V23" s="46"/>
      <c r="W23" s="46"/>
      <c r="X23" s="46"/>
      <c r="Y23" s="46"/>
      <c r="Z23" s="46"/>
      <c r="AA23" s="46"/>
      <c r="AB23" s="46"/>
      <c r="AC23" s="48"/>
    </row>
  </sheetData>
  <sheetProtection algorithmName="SHA-512" hashValue="eNbW+DjYAQSIHHGWXm2EASYssvlphoBk3W+cnwb/uuuunBXoMlfCBy/LAEJwWz2OCP40HfbI23rdIwNLvvVbEQ==" saltValue="e7dBDZ8fFSqF94FMAsruKg==" spinCount="100000" sheet="1" objects="1" scenarios="1"/>
  <mergeCells count="27">
    <mergeCell ref="B1:AC1"/>
    <mergeCell ref="C5:F5"/>
    <mergeCell ref="C6:F6"/>
    <mergeCell ref="C17:F17"/>
    <mergeCell ref="C3:F3"/>
    <mergeCell ref="C9:F9"/>
    <mergeCell ref="C4:F4"/>
    <mergeCell ref="G12:H12"/>
    <mergeCell ref="G15:H15"/>
    <mergeCell ref="G9:H9"/>
    <mergeCell ref="G10:H10"/>
    <mergeCell ref="G11:H11"/>
    <mergeCell ref="G3:H3"/>
    <mergeCell ref="G4:H4"/>
    <mergeCell ref="G6:H6"/>
    <mergeCell ref="G7:H7"/>
    <mergeCell ref="G8:H8"/>
    <mergeCell ref="G5:H5"/>
    <mergeCell ref="G21:H21"/>
    <mergeCell ref="G20:H20"/>
    <mergeCell ref="G13:H13"/>
    <mergeCell ref="G18:H18"/>
    <mergeCell ref="G22:H22"/>
    <mergeCell ref="G14:H14"/>
    <mergeCell ref="G16:H16"/>
    <mergeCell ref="G19:H19"/>
    <mergeCell ref="G17:H17"/>
  </mergeCells>
  <pageMargins left="0.511811024" right="0.511811024" top="0.78740157499999996" bottom="0.78740157499999996" header="0.31496062000000002" footer="0.31496062000000002"/>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9">
    <tabColor theme="1"/>
  </sheetPr>
  <dimension ref="B1:N35"/>
  <sheetViews>
    <sheetView tabSelected="1" zoomScale="32" zoomScaleNormal="32" workbookViewId="0">
      <selection activeCell="E26" sqref="E26"/>
    </sheetView>
  </sheetViews>
  <sheetFormatPr defaultRowHeight="23.25" x14ac:dyDescent="0.35"/>
  <cols>
    <col min="1" max="2" width="9.140625" style="15" customWidth="1"/>
    <col min="3" max="3" width="98.42578125" style="15" customWidth="1"/>
    <col min="4" max="4" width="31.42578125" style="358" customWidth="1"/>
    <col min="5" max="5" width="59.140625" style="358" bestFit="1" customWidth="1"/>
    <col min="6" max="6" width="53.42578125" style="15" bestFit="1" customWidth="1"/>
    <col min="7" max="7" width="9.140625" style="15"/>
    <col min="8" max="8" width="58.42578125" style="15" customWidth="1"/>
    <col min="9" max="9" width="68.7109375" style="15" customWidth="1"/>
    <col min="10" max="10" width="44.28515625" style="15" bestFit="1" customWidth="1"/>
    <col min="11" max="11" width="78.28515625" style="15" customWidth="1"/>
    <col min="12" max="12" width="9.140625" style="15"/>
    <col min="13" max="13" width="32.28515625" style="15" bestFit="1" customWidth="1"/>
    <col min="14" max="14" width="45.28515625" style="15" customWidth="1"/>
    <col min="15" max="16384" width="9.140625" style="15"/>
  </cols>
  <sheetData>
    <row r="1" spans="2:14" ht="38.25" thickBot="1" x14ac:dyDescent="0.55000000000000004">
      <c r="B1" s="1144" t="s">
        <v>884</v>
      </c>
      <c r="C1" s="1145"/>
      <c r="D1" s="1145"/>
      <c r="E1" s="1145"/>
      <c r="F1" s="1145"/>
      <c r="G1" s="1145"/>
      <c r="H1" s="1145"/>
      <c r="I1" s="1145"/>
      <c r="J1" s="1145"/>
      <c r="K1" s="1145"/>
      <c r="L1" s="1146"/>
      <c r="N1" s="593">
        <f ca="1">NOW()</f>
        <v>44379.684951388888</v>
      </c>
    </row>
    <row r="2" spans="2:14" ht="24" thickBot="1" x14ac:dyDescent="0.4">
      <c r="B2" s="569"/>
      <c r="C2" s="688"/>
      <c r="D2" s="689"/>
      <c r="E2" s="689"/>
      <c r="F2" s="688"/>
      <c r="G2" s="688"/>
      <c r="H2" s="688"/>
      <c r="I2" s="688"/>
      <c r="J2" s="688"/>
      <c r="K2" s="688"/>
      <c r="L2" s="571"/>
    </row>
    <row r="3" spans="2:14" s="360" customFormat="1" ht="38.25" thickBot="1" x14ac:dyDescent="0.5">
      <c r="B3" s="387"/>
      <c r="C3" s="1159" t="s">
        <v>853</v>
      </c>
      <c r="D3" s="1160"/>
      <c r="E3" s="1160"/>
      <c r="F3" s="1161"/>
      <c r="G3" s="388"/>
      <c r="H3" s="882" t="s">
        <v>890</v>
      </c>
      <c r="I3" s="883"/>
      <c r="J3" s="883"/>
      <c r="K3" s="884"/>
      <c r="L3" s="389"/>
    </row>
    <row r="4" spans="2:14" ht="24" thickBot="1" x14ac:dyDescent="0.4">
      <c r="B4" s="27"/>
      <c r="C4" s="27"/>
      <c r="D4" s="615"/>
      <c r="E4" s="615"/>
      <c r="F4" s="28"/>
      <c r="G4" s="25"/>
      <c r="H4" s="27"/>
      <c r="I4" s="25"/>
      <c r="J4" s="25"/>
      <c r="K4" s="28"/>
      <c r="L4" s="28"/>
    </row>
    <row r="5" spans="2:14" s="361" customFormat="1" ht="62.25" thickBot="1" x14ac:dyDescent="0.3">
      <c r="B5" s="391"/>
      <c r="C5" s="347" t="s">
        <v>845</v>
      </c>
      <c r="D5" s="616" t="s">
        <v>850</v>
      </c>
      <c r="E5" s="616" t="s">
        <v>851</v>
      </c>
      <c r="F5" s="333" t="s">
        <v>852</v>
      </c>
      <c r="G5" s="199"/>
      <c r="H5" s="1174" t="s">
        <v>889</v>
      </c>
      <c r="I5" s="1175"/>
      <c r="J5" s="617" t="s">
        <v>885</v>
      </c>
      <c r="K5" s="618" t="s">
        <v>886</v>
      </c>
      <c r="L5" s="392"/>
    </row>
    <row r="6" spans="2:14" s="567" customFormat="1" ht="49.5" x14ac:dyDescent="0.5">
      <c r="B6" s="561"/>
      <c r="C6" s="562" t="s">
        <v>846</v>
      </c>
      <c r="D6" s="563"/>
      <c r="E6" s="563"/>
      <c r="F6" s="564"/>
      <c r="G6" s="565"/>
      <c r="H6" s="1170" t="s">
        <v>1012</v>
      </c>
      <c r="I6" s="1171"/>
      <c r="J6" s="516">
        <f>F11-'Custo de produção por lotes'!L709</f>
        <v>-115388.62976991909</v>
      </c>
      <c r="K6" s="515" t="s">
        <v>922</v>
      </c>
      <c r="L6" s="690" t="s">
        <v>1088</v>
      </c>
    </row>
    <row r="7" spans="2:14" s="362" customFormat="1" ht="63" x14ac:dyDescent="0.65">
      <c r="B7" s="363"/>
      <c r="C7" s="387" t="s">
        <v>127</v>
      </c>
      <c r="D7" s="518">
        <f>'Insumos e serviços'!$H$294</f>
        <v>960.58548266994774</v>
      </c>
      <c r="E7" s="519">
        <f>D7*'Plantel produtivo'!$D$67</f>
        <v>105664.40309369426</v>
      </c>
      <c r="F7" s="520">
        <f>E7*'Caracterização do sistema'!$I$66</f>
        <v>741764.10971773369</v>
      </c>
      <c r="G7" s="393"/>
      <c r="H7" s="1176" t="s">
        <v>1094</v>
      </c>
      <c r="I7" s="1177"/>
      <c r="J7" s="699">
        <f>('Custo de produção por lotes'!L709/('Caracterização do sistema'!I66*'Plantel produtivo'!D67))</f>
        <v>1138.869802212477</v>
      </c>
      <c r="K7" s="698" t="s">
        <v>1093</v>
      </c>
      <c r="L7" s="691" t="s">
        <v>1088</v>
      </c>
      <c r="M7" s="700"/>
    </row>
    <row r="8" spans="2:14" s="362" customFormat="1" ht="49.5" x14ac:dyDescent="0.65">
      <c r="B8" s="363"/>
      <c r="C8" s="521" t="s">
        <v>847</v>
      </c>
      <c r="D8" s="522"/>
      <c r="E8" s="519"/>
      <c r="F8" s="389"/>
      <c r="G8" s="393"/>
      <c r="H8" s="1170" t="s">
        <v>887</v>
      </c>
      <c r="I8" s="1171"/>
      <c r="J8" s="591">
        <f>F11/'Custo de produção por lotes'!L709</f>
        <v>0.86879235476243521</v>
      </c>
      <c r="K8" s="515" t="s">
        <v>932</v>
      </c>
      <c r="L8" s="691" t="s">
        <v>1088</v>
      </c>
    </row>
    <row r="9" spans="2:14" s="362" customFormat="1" ht="50.25" thickBot="1" x14ac:dyDescent="0.7">
      <c r="B9" s="363"/>
      <c r="C9" s="387" t="s">
        <v>848</v>
      </c>
      <c r="D9" s="518">
        <f>((Tabela2[[#This Row],[Valor real da granja ]]*'Plantel produtivo'!$D$21)/(365/7))</f>
        <v>13.760273972602739</v>
      </c>
      <c r="E9" s="519">
        <f>D9*'Plantel produtivo'!$D$23</f>
        <v>3027.2602739726026</v>
      </c>
      <c r="F9" s="520">
        <f>E9*'Caracterização do sistema'!$I$66</f>
        <v>21251.36712328767</v>
      </c>
      <c r="G9" s="393"/>
      <c r="H9" s="1172" t="s">
        <v>888</v>
      </c>
      <c r="I9" s="1173"/>
      <c r="J9" s="590">
        <f>E25/'Custo de produção por lotes'!L709</f>
        <v>-0.13120764523756476</v>
      </c>
      <c r="K9" s="517" t="s">
        <v>931</v>
      </c>
      <c r="L9" s="691" t="s">
        <v>1088</v>
      </c>
    </row>
    <row r="10" spans="2:14" s="362" customFormat="1" ht="32.25" thickBot="1" x14ac:dyDescent="0.5">
      <c r="B10" s="363"/>
      <c r="C10" s="523" t="s">
        <v>849</v>
      </c>
      <c r="D10" s="524">
        <f>((('Plantel produtivo'!I20+'Plantel produtivo'!I21)*'Plantel produtivo'!D27)/(365/7))</f>
        <v>0.56495433789954341</v>
      </c>
      <c r="E10" s="525">
        <f>D10*'Plantel produtivo'!$D$24</f>
        <v>146.88812785388129</v>
      </c>
      <c r="F10" s="526">
        <f>E10*'Caracterização do sistema'!$I$66</f>
        <v>1031.1546575342466</v>
      </c>
      <c r="G10" s="393"/>
      <c r="H10" s="393"/>
      <c r="I10" s="393"/>
      <c r="J10" s="393"/>
      <c r="K10" s="393"/>
      <c r="L10" s="364"/>
    </row>
    <row r="11" spans="2:14" s="360" customFormat="1" ht="47.25" thickBot="1" x14ac:dyDescent="1.1499999999999999">
      <c r="B11" s="387"/>
      <c r="C11" s="1162" t="s">
        <v>857</v>
      </c>
      <c r="D11" s="1163"/>
      <c r="E11" s="1163"/>
      <c r="F11" s="529">
        <f>SUM(F7,F9,F10)</f>
        <v>764046.63149855554</v>
      </c>
      <c r="G11" s="388"/>
      <c r="H11" s="388"/>
      <c r="I11" s="388"/>
      <c r="J11" s="388"/>
      <c r="K11" s="388"/>
      <c r="L11" s="389"/>
    </row>
    <row r="12" spans="2:14" s="362" customFormat="1" ht="32.25" thickBot="1" x14ac:dyDescent="0.5">
      <c r="B12" s="363"/>
      <c r="C12" s="1164" t="s">
        <v>858</v>
      </c>
      <c r="D12" s="1165"/>
      <c r="E12" s="1165"/>
      <c r="F12" s="527">
        <f>F11/D7</f>
        <v>795.3968129675327</v>
      </c>
      <c r="G12" s="393"/>
      <c r="H12" s="393"/>
      <c r="I12" s="393"/>
      <c r="J12" s="393"/>
      <c r="K12" s="393"/>
      <c r="L12" s="364"/>
    </row>
    <row r="13" spans="2:14" s="362" customFormat="1" ht="32.25" thickBot="1" x14ac:dyDescent="0.5">
      <c r="B13" s="363"/>
      <c r="C13" s="1166" t="s">
        <v>859</v>
      </c>
      <c r="D13" s="1167"/>
      <c r="E13" s="1167"/>
      <c r="F13" s="528">
        <f>F11/E7</f>
        <v>7.2308801178866604</v>
      </c>
      <c r="G13" s="393"/>
      <c r="H13" s="393"/>
      <c r="I13" s="393"/>
      <c r="J13" s="393"/>
      <c r="K13" s="393"/>
      <c r="L13" s="364"/>
    </row>
    <row r="14" spans="2:14" ht="24" thickBot="1" x14ac:dyDescent="0.4">
      <c r="B14" s="27"/>
      <c r="C14" s="25"/>
      <c r="D14" s="615"/>
      <c r="E14" s="615"/>
      <c r="F14" s="25"/>
      <c r="G14" s="25"/>
      <c r="H14" s="25"/>
      <c r="I14" s="25"/>
      <c r="J14" s="25"/>
      <c r="K14" s="25"/>
      <c r="L14" s="28"/>
    </row>
    <row r="15" spans="2:14" s="360" customFormat="1" ht="32.25" thickBot="1" x14ac:dyDescent="0.5">
      <c r="B15" s="387"/>
      <c r="C15" s="1159" t="s">
        <v>861</v>
      </c>
      <c r="D15" s="1160"/>
      <c r="E15" s="1160"/>
      <c r="F15" s="1161"/>
      <c r="G15" s="388"/>
      <c r="H15" s="388"/>
      <c r="I15" s="388"/>
      <c r="J15" s="388"/>
      <c r="K15" s="388"/>
      <c r="L15" s="389"/>
    </row>
    <row r="16" spans="2:14" ht="27" thickBot="1" x14ac:dyDescent="0.45">
      <c r="B16" s="27"/>
      <c r="C16" s="588"/>
      <c r="D16" s="390"/>
      <c r="E16" s="390"/>
      <c r="F16" s="28"/>
      <c r="G16" s="25"/>
      <c r="H16" s="393"/>
      <c r="I16" s="615"/>
      <c r="J16" s="615"/>
      <c r="K16" s="25"/>
      <c r="L16" s="28"/>
    </row>
    <row r="17" spans="2:12" s="365" customFormat="1" ht="30.75" x14ac:dyDescent="0.4">
      <c r="B17" s="394"/>
      <c r="C17" s="380" t="s">
        <v>860</v>
      </c>
      <c r="D17" s="381"/>
      <c r="E17" s="381"/>
      <c r="F17" s="382" t="s">
        <v>862</v>
      </c>
      <c r="G17" s="395"/>
      <c r="H17" s="395"/>
      <c r="I17" s="395"/>
      <c r="J17" s="395"/>
      <c r="K17" s="395"/>
      <c r="L17" s="396"/>
    </row>
    <row r="18" spans="2:12" ht="31.5" x14ac:dyDescent="0.45">
      <c r="B18" s="27"/>
      <c r="C18" s="1168" t="s">
        <v>1039</v>
      </c>
      <c r="D18" s="1169"/>
      <c r="E18" s="1169"/>
      <c r="F18" s="566">
        <f>('Custo de produção por lotes'!$L$692/('Insumos e serviços'!$H$294*'Plantel produtivo'!$D$67))</f>
        <v>7.8641304581946079</v>
      </c>
      <c r="G18" s="25"/>
      <c r="H18" s="25"/>
      <c r="I18" s="25"/>
      <c r="J18" s="25"/>
      <c r="K18" s="25"/>
      <c r="L18" s="28"/>
    </row>
    <row r="19" spans="2:12" ht="49.5" x14ac:dyDescent="0.65">
      <c r="B19" s="697" t="s">
        <v>1088</v>
      </c>
      <c r="C19" s="530" t="s">
        <v>1000</v>
      </c>
      <c r="D19" s="531"/>
      <c r="E19" s="531"/>
      <c r="F19" s="532">
        <f>'Custo de produção por lotes'!$L$707/('Insumos e serviços'!$H$294*'Plantel produtivo'!$D$67)</f>
        <v>0.45877901292279177</v>
      </c>
      <c r="G19" s="25"/>
      <c r="H19" s="25"/>
      <c r="I19" s="25"/>
      <c r="J19" s="25"/>
      <c r="K19" s="25"/>
      <c r="L19" s="28"/>
    </row>
    <row r="20" spans="2:12" ht="39" thickBot="1" x14ac:dyDescent="0.4">
      <c r="B20" s="27"/>
      <c r="C20" s="580" t="s">
        <v>1002</v>
      </c>
      <c r="D20" s="581"/>
      <c r="E20" s="582"/>
      <c r="F20" s="583">
        <f>'Custo de produção por lotes'!$L$709/('Insumos e serviços'!$H$294*'Plantel produtivo'!$D$67)</f>
        <v>8.3229094711174003</v>
      </c>
      <c r="G20" s="25"/>
      <c r="H20" s="25"/>
      <c r="I20" s="25"/>
      <c r="J20" s="25"/>
      <c r="K20" s="25"/>
      <c r="L20" s="28"/>
    </row>
    <row r="21" spans="2:12" ht="24" thickBot="1" x14ac:dyDescent="0.4">
      <c r="B21" s="27"/>
      <c r="C21" s="25"/>
      <c r="D21" s="615"/>
      <c r="E21" s="615"/>
      <c r="F21" s="25"/>
      <c r="G21" s="25"/>
      <c r="H21" s="25"/>
      <c r="I21" s="25"/>
      <c r="J21" s="25"/>
      <c r="K21" s="25"/>
      <c r="L21" s="28"/>
    </row>
    <row r="22" spans="2:12" ht="38.25" thickBot="1" x14ac:dyDescent="0.4">
      <c r="B22" s="27"/>
      <c r="C22" s="882" t="s">
        <v>868</v>
      </c>
      <c r="D22" s="883"/>
      <c r="E22" s="883"/>
      <c r="F22" s="884"/>
      <c r="G22" s="25"/>
      <c r="H22" s="25"/>
      <c r="I22" s="25"/>
      <c r="J22" s="25"/>
      <c r="K22" s="25"/>
      <c r="L22" s="28"/>
    </row>
    <row r="23" spans="2:12" ht="24" thickBot="1" x14ac:dyDescent="0.4">
      <c r="B23" s="27"/>
      <c r="C23" s="27"/>
      <c r="D23" s="25"/>
      <c r="E23" s="25"/>
      <c r="F23" s="28"/>
      <c r="G23" s="25"/>
      <c r="H23" s="25"/>
      <c r="I23" s="25"/>
      <c r="J23" s="25"/>
      <c r="K23" s="25"/>
      <c r="L23" s="28"/>
    </row>
    <row r="24" spans="2:12" ht="38.25" thickBot="1" x14ac:dyDescent="0.4">
      <c r="B24" s="27"/>
      <c r="C24" s="619" t="s">
        <v>863</v>
      </c>
      <c r="D24" s="620"/>
      <c r="E24" s="370" t="s">
        <v>864</v>
      </c>
      <c r="F24" s="681" t="s">
        <v>865</v>
      </c>
      <c r="G24" s="25"/>
      <c r="H24" s="25"/>
      <c r="I24" s="25"/>
      <c r="J24" s="25"/>
      <c r="K24" s="25"/>
      <c r="L24" s="28"/>
    </row>
    <row r="25" spans="2:12" ht="38.25" thickBot="1" x14ac:dyDescent="0.55000000000000004">
      <c r="B25" s="27"/>
      <c r="C25" s="372" t="s">
        <v>963</v>
      </c>
      <c r="D25" s="373"/>
      <c r="E25" s="374">
        <f>$F$11-'Custo de produção por lotes'!$L$709</f>
        <v>-115388.62976991909</v>
      </c>
      <c r="F25" s="375">
        <f>$E$25/$E$7</f>
        <v>-1.0920293532307395</v>
      </c>
      <c r="G25" s="25"/>
      <c r="H25" s="25"/>
      <c r="I25" s="25"/>
      <c r="J25" s="25"/>
      <c r="K25" s="25"/>
      <c r="L25" s="28"/>
    </row>
    <row r="26" spans="2:12" ht="32.25" thickBot="1" x14ac:dyDescent="0.5">
      <c r="B26" s="27"/>
      <c r="C26" s="376" t="s">
        <v>866</v>
      </c>
      <c r="D26" s="377"/>
      <c r="E26" s="378">
        <f>($F$11*4.345)-'Custo de produção por lotes'!$N$709</f>
        <v>-491623.13129357481</v>
      </c>
      <c r="F26" s="379">
        <f>$E$26/($E$7*4)</f>
        <v>-1.1631711269348795</v>
      </c>
      <c r="G26" s="25"/>
      <c r="H26" s="25"/>
      <c r="I26" s="25"/>
      <c r="J26" s="25"/>
      <c r="K26" s="25"/>
      <c r="L26" s="28"/>
    </row>
    <row r="27" spans="2:12" ht="32.25" thickBot="1" x14ac:dyDescent="0.5">
      <c r="B27" s="27"/>
      <c r="C27" s="367" t="s">
        <v>867</v>
      </c>
      <c r="D27" s="366"/>
      <c r="E27" s="368">
        <f>($F$11*52.1429)-'Custo de produção por lotes'!$P$709</f>
        <v>-6014147.420972243</v>
      </c>
      <c r="F27" s="369">
        <f>$E$27/($E$7*52.1429)</f>
        <v>-1.0915664630296542</v>
      </c>
      <c r="G27" s="25"/>
      <c r="H27" s="25"/>
      <c r="I27" s="25"/>
      <c r="J27" s="25"/>
      <c r="K27" s="25"/>
      <c r="L27" s="28"/>
    </row>
    <row r="28" spans="2:12" ht="24" thickBot="1" x14ac:dyDescent="0.4">
      <c r="B28" s="27"/>
      <c r="C28" s="25"/>
      <c r="D28" s="615"/>
      <c r="E28" s="615"/>
      <c r="F28" s="25"/>
      <c r="G28" s="25"/>
      <c r="H28" s="25"/>
      <c r="I28" s="25"/>
      <c r="J28" s="25"/>
      <c r="K28" s="25"/>
      <c r="L28" s="28"/>
    </row>
    <row r="29" spans="2:12" s="371" customFormat="1" ht="50.25" thickBot="1" x14ac:dyDescent="0.6">
      <c r="B29" s="397"/>
      <c r="C29" s="1156" t="s">
        <v>869</v>
      </c>
      <c r="D29" s="1157"/>
      <c r="E29" s="1157"/>
      <c r="F29" s="1158"/>
      <c r="G29" s="398"/>
      <c r="H29" s="398"/>
      <c r="I29" s="513"/>
      <c r="J29" s="398"/>
      <c r="K29" s="398"/>
      <c r="L29" s="399"/>
    </row>
    <row r="30" spans="2:12" ht="15" customHeight="1" thickBot="1" x14ac:dyDescent="0.4">
      <c r="B30" s="27"/>
      <c r="C30" s="692"/>
      <c r="D30" s="693"/>
      <c r="E30" s="693"/>
      <c r="F30" s="694"/>
      <c r="G30" s="25"/>
      <c r="H30" s="25"/>
      <c r="I30" s="25"/>
      <c r="J30" s="25"/>
      <c r="K30" s="25"/>
      <c r="L30" s="28"/>
    </row>
    <row r="31" spans="2:12" ht="50.25" thickBot="1" x14ac:dyDescent="0.7">
      <c r="B31" s="27"/>
      <c r="C31" s="1184" t="s">
        <v>1091</v>
      </c>
      <c r="D31" s="1185"/>
      <c r="E31" s="695" t="s">
        <v>590</v>
      </c>
      <c r="F31" s="696" t="s">
        <v>865</v>
      </c>
      <c r="G31" s="25"/>
      <c r="H31" s="25"/>
      <c r="I31" s="586"/>
      <c r="J31" s="25"/>
      <c r="K31" s="25"/>
      <c r="L31" s="28"/>
    </row>
    <row r="32" spans="2:12" ht="49.5" x14ac:dyDescent="0.35">
      <c r="B32" s="27"/>
      <c r="C32" s="1186" t="s">
        <v>1037</v>
      </c>
      <c r="D32" s="1187"/>
      <c r="E32" s="1180">
        <f>SUM(E25,'Custo de produção por lotes'!L707,'Custo de produção por lotes'!L278)</f>
        <v>-64610.523245136006</v>
      </c>
      <c r="F32" s="1182">
        <f>E32/E7</f>
        <v>-0.6114691547336415</v>
      </c>
      <c r="G32" s="25"/>
      <c r="H32" s="25"/>
      <c r="I32" s="587"/>
      <c r="J32" s="25"/>
      <c r="K32" s="25"/>
      <c r="L32" s="28"/>
    </row>
    <row r="33" spans="2:12" ht="149.25" customHeight="1" thickBot="1" x14ac:dyDescent="0.4">
      <c r="B33" s="27"/>
      <c r="C33" s="1178" t="s">
        <v>1092</v>
      </c>
      <c r="D33" s="1179"/>
      <c r="E33" s="1181"/>
      <c r="F33" s="1183"/>
      <c r="G33" s="25"/>
      <c r="H33" s="25"/>
      <c r="I33" s="25"/>
      <c r="J33" s="25"/>
      <c r="K33" s="25"/>
      <c r="L33" s="28"/>
    </row>
    <row r="34" spans="2:12" ht="27" thickBot="1" x14ac:dyDescent="0.45">
      <c r="B34" s="45"/>
      <c r="C34" s="400"/>
      <c r="D34" s="585"/>
      <c r="E34" s="585"/>
      <c r="F34" s="46"/>
      <c r="G34" s="46"/>
      <c r="H34" s="46"/>
      <c r="I34" s="46"/>
      <c r="J34" s="46"/>
      <c r="K34" s="46"/>
      <c r="L34" s="48"/>
    </row>
    <row r="35" spans="2:12" ht="26.25" x14ac:dyDescent="0.4">
      <c r="C35" s="362"/>
    </row>
  </sheetData>
  <sheetProtection algorithmName="SHA-512" hashValue="JlaHcJWkjaPJS0P9rerDdItlS3iLu46OqNK7d+K4fMStqlzM4cDwWDWHLegMDm0oolyS6jjtS7ZgqeHHbckjLQ==" saltValue="a/q0LnIae+9bkeEA9u7UlA==" spinCount="100000" sheet="1" objects="1" scenarios="1"/>
  <mergeCells count="20">
    <mergeCell ref="C33:D33"/>
    <mergeCell ref="E32:E33"/>
    <mergeCell ref="F32:F33"/>
    <mergeCell ref="C31:D31"/>
    <mergeCell ref="C32:D32"/>
    <mergeCell ref="B1:L1"/>
    <mergeCell ref="H3:K3"/>
    <mergeCell ref="C22:F22"/>
    <mergeCell ref="C29:F29"/>
    <mergeCell ref="C3:F3"/>
    <mergeCell ref="C11:E11"/>
    <mergeCell ref="C12:E12"/>
    <mergeCell ref="C13:E13"/>
    <mergeCell ref="C15:F15"/>
    <mergeCell ref="C18:E18"/>
    <mergeCell ref="H8:I8"/>
    <mergeCell ref="H9:I9"/>
    <mergeCell ref="H5:I5"/>
    <mergeCell ref="H6:I6"/>
    <mergeCell ref="H7:I7"/>
  </mergeCells>
  <pageMargins left="0.511811024" right="0.511811024" top="0.78740157499999996" bottom="0.78740157499999996" header="0.31496062000000002" footer="0.31496062000000002"/>
  <pageSetup paperSize="9"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10</vt:i4>
      </vt:variant>
    </vt:vector>
  </HeadingPairs>
  <TitlesOfParts>
    <vt:vector size="10" baseType="lpstr">
      <vt:lpstr>Instruções</vt:lpstr>
      <vt:lpstr>Dados da propriedade</vt:lpstr>
      <vt:lpstr>Caracterização do sistema</vt:lpstr>
      <vt:lpstr>Plantel produtivo</vt:lpstr>
      <vt:lpstr>Inventário Físico</vt:lpstr>
      <vt:lpstr>Insumos e serviços</vt:lpstr>
      <vt:lpstr>Custo de produção por lotes</vt:lpstr>
      <vt:lpstr>Resumo custos</vt:lpstr>
      <vt:lpstr>Relatório econômico</vt:lpstr>
      <vt:lpstr>Os autores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Laya Kannan S. Alves</dc:creator>
  <cp:lastModifiedBy>Laya Kannan Silva Alves</cp:lastModifiedBy>
  <dcterms:created xsi:type="dcterms:W3CDTF">2020-02-19T17:38:59Z</dcterms:created>
  <dcterms:modified xsi:type="dcterms:W3CDTF">2021-07-02T19:26:20Z</dcterms:modified>
</cp:coreProperties>
</file>